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E:\PROJETO-ESCOLA 25 SALAS\15. ARQUIVOS EDITÁVEIS\"/>
    </mc:Choice>
  </mc:AlternateContent>
  <xr:revisionPtr revIDLastSave="0" documentId="13_ncr:1_{AA59D042-94BC-4009-97B0-9D3B9AC5FF0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Orçamento Sintético" sheetId="1" r:id="rId1"/>
  </sheets>
  <definedNames>
    <definedName name="_xlnm.Print_Area" localSheetId="0">'Orçamento Sintético'!$A$1:$J$2016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97" i="1" l="1"/>
  <c r="E1993" i="1"/>
  <c r="E1990" i="1"/>
  <c r="E1987" i="1"/>
  <c r="E1986" i="1"/>
  <c r="E1983" i="1"/>
  <c r="E1982" i="1"/>
  <c r="E1979" i="1"/>
  <c r="E1976" i="1"/>
  <c r="E1973" i="1"/>
  <c r="E1969" i="1"/>
  <c r="E1968" i="1"/>
  <c r="E1967" i="1"/>
  <c r="E1964" i="1"/>
  <c r="E1963" i="1"/>
  <c r="E1962" i="1"/>
  <c r="E1961" i="1"/>
  <c r="E1960" i="1"/>
  <c r="E1957" i="1"/>
  <c r="E1956" i="1"/>
  <c r="E1955" i="1"/>
  <c r="E1952" i="1"/>
  <c r="E1951" i="1"/>
  <c r="E1948" i="1"/>
  <c r="E1947" i="1"/>
  <c r="E1946" i="1"/>
  <c r="E1945" i="1"/>
  <c r="E1944" i="1"/>
  <c r="E1943" i="1"/>
  <c r="E1939" i="1"/>
  <c r="E1936" i="1"/>
  <c r="E1933" i="1"/>
  <c r="E1930" i="1"/>
  <c r="E1927" i="1"/>
  <c r="E1924" i="1"/>
  <c r="E1921" i="1"/>
  <c r="E1917" i="1"/>
  <c r="E1916" i="1"/>
  <c r="E1915" i="1"/>
  <c r="E1914" i="1"/>
  <c r="E1913" i="1"/>
  <c r="E1910" i="1"/>
  <c r="E1909" i="1"/>
  <c r="E1908" i="1"/>
  <c r="E1907" i="1"/>
  <c r="E1906" i="1"/>
  <c r="E1903" i="1"/>
  <c r="E1902" i="1"/>
  <c r="E1901" i="1"/>
  <c r="E1900" i="1"/>
  <c r="E1899" i="1"/>
  <c r="E1896" i="1"/>
  <c r="E1895" i="1"/>
  <c r="E1894" i="1"/>
  <c r="E1893" i="1"/>
  <c r="E1892" i="1"/>
  <c r="E1889" i="1"/>
  <c r="E1888" i="1"/>
  <c r="E1887" i="1"/>
  <c r="E1886" i="1"/>
  <c r="E1883" i="1"/>
  <c r="E1882" i="1"/>
  <c r="E1881" i="1"/>
  <c r="E1880" i="1"/>
  <c r="E1877" i="1"/>
  <c r="E1876" i="1"/>
  <c r="E1875" i="1"/>
  <c r="E1874" i="1"/>
  <c r="E1871" i="1"/>
  <c r="E1870" i="1"/>
  <c r="E1869" i="1"/>
  <c r="E1866" i="1"/>
  <c r="E1865" i="1"/>
  <c r="E1864" i="1"/>
  <c r="E1863" i="1"/>
  <c r="E1862" i="1"/>
  <c r="E1859" i="1"/>
  <c r="E1858" i="1"/>
  <c r="E1853" i="1"/>
  <c r="E1850" i="1"/>
  <c r="E1847" i="1"/>
  <c r="E1844" i="1"/>
  <c r="E1841" i="1"/>
  <c r="E1838" i="1"/>
  <c r="E1835" i="1"/>
  <c r="E1832" i="1"/>
  <c r="E1829" i="1"/>
  <c r="E1826" i="1"/>
  <c r="E1823" i="1"/>
  <c r="E1819" i="1"/>
  <c r="E1816" i="1"/>
  <c r="E1813" i="1"/>
  <c r="E1810" i="1"/>
  <c r="E1806" i="1"/>
  <c r="E1803" i="1"/>
  <c r="E1800" i="1"/>
  <c r="E1797" i="1"/>
  <c r="E1794" i="1"/>
  <c r="E1791" i="1"/>
  <c r="E1788" i="1"/>
  <c r="E1785" i="1"/>
  <c r="E1782" i="1"/>
  <c r="E1779" i="1"/>
  <c r="E1776" i="1"/>
  <c r="E1773" i="1"/>
  <c r="E1770" i="1"/>
  <c r="E1767" i="1"/>
  <c r="E1764" i="1"/>
  <c r="E1761" i="1"/>
  <c r="E1758" i="1"/>
  <c r="E1755" i="1"/>
  <c r="E1752" i="1"/>
  <c r="E1749" i="1"/>
  <c r="E1745" i="1"/>
  <c r="E1742" i="1"/>
  <c r="E1739" i="1"/>
  <c r="E1736" i="1"/>
  <c r="E1733" i="1"/>
  <c r="E1730" i="1"/>
  <c r="E1726" i="1"/>
  <c r="E1723" i="1"/>
  <c r="E1720" i="1"/>
  <c r="E1717" i="1"/>
  <c r="E1714" i="1"/>
  <c r="E1711" i="1"/>
  <c r="E1708" i="1"/>
  <c r="E1705" i="1"/>
  <c r="E1702" i="1"/>
  <c r="E1699" i="1"/>
  <c r="E1696" i="1"/>
  <c r="E1693" i="1"/>
  <c r="E1690" i="1"/>
  <c r="E1687" i="1"/>
  <c r="E1684" i="1"/>
  <c r="E1681" i="1"/>
  <c r="E1678" i="1"/>
  <c r="E1675" i="1"/>
  <c r="E1671" i="1"/>
  <c r="E1668" i="1"/>
  <c r="E1665" i="1"/>
  <c r="E1662" i="1"/>
  <c r="E1659" i="1"/>
  <c r="E1655" i="1"/>
  <c r="E1652" i="1"/>
  <c r="E1649" i="1"/>
  <c r="E1646" i="1"/>
  <c r="E1643" i="1"/>
  <c r="E1638" i="1"/>
  <c r="E1635" i="1"/>
  <c r="E1632" i="1"/>
  <c r="E1629" i="1"/>
  <c r="E1626" i="1"/>
  <c r="E1623" i="1"/>
  <c r="E1620" i="1"/>
  <c r="E1617" i="1"/>
  <c r="E1614" i="1"/>
  <c r="E1611" i="1"/>
  <c r="E1608" i="1"/>
  <c r="E1604" i="1"/>
  <c r="E1601" i="1"/>
  <c r="E1598" i="1"/>
  <c r="E1595" i="1"/>
  <c r="E1592" i="1"/>
  <c r="E1589" i="1"/>
  <c r="E1586" i="1"/>
  <c r="E1583" i="1"/>
  <c r="E1580" i="1"/>
  <c r="E1577" i="1"/>
  <c r="E1574" i="1"/>
  <c r="E1571" i="1"/>
  <c r="E1568" i="1"/>
  <c r="E1565" i="1"/>
  <c r="E1562" i="1"/>
  <c r="E1559" i="1"/>
  <c r="E1556" i="1"/>
  <c r="E1553" i="1"/>
  <c r="E1550" i="1"/>
  <c r="E1547" i="1"/>
  <c r="E1544" i="1"/>
  <c r="E1540" i="1"/>
  <c r="E1537" i="1"/>
  <c r="E1511" i="1"/>
  <c r="E1508" i="1"/>
  <c r="E1505" i="1"/>
  <c r="E1502" i="1"/>
  <c r="E1499" i="1"/>
  <c r="E1496" i="1"/>
  <c r="E1492" i="1"/>
  <c r="E1489" i="1"/>
  <c r="E1486" i="1"/>
  <c r="E1483" i="1"/>
  <c r="E1480" i="1"/>
  <c r="E1477" i="1"/>
  <c r="E1474" i="1"/>
  <c r="E1471" i="1"/>
  <c r="E1468" i="1"/>
  <c r="E1465" i="1"/>
  <c r="E1462" i="1"/>
  <c r="E1459" i="1"/>
  <c r="E1456" i="1"/>
  <c r="E1453" i="1"/>
  <c r="E1450" i="1"/>
  <c r="E1447" i="1"/>
  <c r="E1444" i="1"/>
  <c r="E1441" i="1"/>
  <c r="E1438" i="1"/>
  <c r="E1435" i="1"/>
  <c r="E1432" i="1"/>
  <c r="E1429" i="1"/>
  <c r="E1426" i="1"/>
  <c r="E1423" i="1"/>
  <c r="E1420" i="1"/>
  <c r="E1417" i="1"/>
  <c r="E1414" i="1"/>
  <c r="E1411" i="1"/>
  <c r="E1408" i="1"/>
  <c r="E1405" i="1"/>
  <c r="E1402" i="1"/>
  <c r="E1399" i="1"/>
  <c r="E1396" i="1"/>
  <c r="E1393" i="1"/>
  <c r="E1390" i="1"/>
  <c r="E1387" i="1"/>
  <c r="E1384" i="1"/>
  <c r="E1381" i="1"/>
  <c r="E1378" i="1"/>
  <c r="E1375" i="1"/>
  <c r="E1372" i="1"/>
  <c r="E1369" i="1"/>
  <c r="E1366" i="1"/>
  <c r="E1363" i="1"/>
  <c r="E1360" i="1"/>
  <c r="E1357" i="1"/>
  <c r="E1354" i="1"/>
  <c r="E1351" i="1"/>
  <c r="E1348" i="1"/>
  <c r="E1345" i="1"/>
  <c r="E1342" i="1"/>
  <c r="E1339" i="1"/>
  <c r="E1336" i="1"/>
  <c r="E1333" i="1"/>
  <c r="E1330" i="1"/>
  <c r="E1325" i="1"/>
  <c r="E1322" i="1"/>
  <c r="E1321" i="1"/>
  <c r="E1318" i="1"/>
  <c r="E1315" i="1"/>
  <c r="E1312" i="1"/>
  <c r="E1309" i="1"/>
  <c r="E1306" i="1"/>
  <c r="E1303" i="1"/>
  <c r="E1300" i="1"/>
  <c r="E1297" i="1"/>
  <c r="E1293" i="1"/>
  <c r="E1290" i="1"/>
  <c r="E1287" i="1"/>
  <c r="E1284" i="1"/>
  <c r="E1281" i="1"/>
  <c r="E1278" i="1"/>
  <c r="E1275" i="1"/>
  <c r="E1272" i="1"/>
  <c r="E1269" i="1"/>
  <c r="E1266" i="1"/>
  <c r="E1263" i="1"/>
  <c r="E1260" i="1"/>
  <c r="E1257" i="1"/>
  <c r="E1254" i="1"/>
  <c r="E1251" i="1"/>
  <c r="E1248" i="1"/>
  <c r="E1245" i="1"/>
  <c r="E1242" i="1"/>
  <c r="E1239" i="1"/>
  <c r="E1236" i="1"/>
  <c r="E1233" i="1"/>
  <c r="E1228" i="1"/>
  <c r="E1225" i="1"/>
  <c r="E1222" i="1"/>
  <c r="E1219" i="1"/>
  <c r="E1216" i="1"/>
  <c r="E1212" i="1"/>
  <c r="E1209" i="1"/>
  <c r="E1206" i="1"/>
  <c r="E1203" i="1"/>
  <c r="E1200" i="1"/>
  <c r="E1195" i="1"/>
  <c r="E1192" i="1"/>
  <c r="E1189" i="1"/>
  <c r="E1185" i="1"/>
  <c r="E1182" i="1"/>
  <c r="E1179" i="1"/>
  <c r="E1176" i="1"/>
  <c r="E1173" i="1"/>
  <c r="E1169" i="1"/>
  <c r="E1166" i="1"/>
  <c r="E1163" i="1"/>
  <c r="E1160" i="1"/>
  <c r="E1157" i="1"/>
  <c r="E1154" i="1"/>
  <c r="E1151" i="1"/>
  <c r="E1148" i="1"/>
  <c r="E1145" i="1"/>
  <c r="E1142" i="1"/>
  <c r="E1139" i="1"/>
  <c r="E1136" i="1"/>
  <c r="E1133" i="1"/>
  <c r="E1130" i="1"/>
  <c r="E1127" i="1"/>
  <c r="E1124" i="1"/>
  <c r="E1121" i="1"/>
  <c r="E1118" i="1"/>
  <c r="E1115" i="1"/>
  <c r="E1112" i="1"/>
  <c r="E1109" i="1"/>
  <c r="E1106" i="1"/>
  <c r="E1103" i="1"/>
  <c r="E1100" i="1"/>
  <c r="E1097" i="1"/>
  <c r="E1091" i="1"/>
  <c r="E1087" i="1"/>
  <c r="E1084" i="1"/>
  <c r="E1081" i="1"/>
  <c r="E1078" i="1"/>
  <c r="E1075" i="1"/>
  <c r="E1072" i="1"/>
  <c r="E1069" i="1"/>
  <c r="E1065" i="1"/>
  <c r="E1062" i="1"/>
  <c r="E1059" i="1"/>
  <c r="E1056" i="1"/>
  <c r="E1053" i="1"/>
  <c r="E1050" i="1"/>
  <c r="E1047" i="1"/>
  <c r="E1044" i="1"/>
  <c r="E1041" i="1"/>
  <c r="E1038" i="1"/>
  <c r="E1035" i="1"/>
  <c r="E1032" i="1"/>
  <c r="E1029" i="1"/>
  <c r="E1026" i="1"/>
  <c r="E1023" i="1"/>
  <c r="E1020" i="1"/>
  <c r="E1017" i="1"/>
  <c r="E1014" i="1"/>
  <c r="E1011" i="1"/>
  <c r="E1008" i="1"/>
  <c r="E1005" i="1"/>
  <c r="E1002" i="1"/>
  <c r="E999" i="1"/>
  <c r="E996" i="1"/>
  <c r="E993" i="1"/>
  <c r="E990" i="1"/>
  <c r="E987" i="1"/>
  <c r="E984" i="1"/>
  <c r="E981" i="1"/>
  <c r="E978" i="1"/>
  <c r="E975" i="1"/>
  <c r="E972" i="1"/>
  <c r="E969" i="1"/>
  <c r="E966" i="1"/>
  <c r="E963" i="1"/>
  <c r="E958" i="1"/>
  <c r="E955" i="1"/>
  <c r="E954" i="1"/>
  <c r="E953" i="1"/>
  <c r="E952" i="1"/>
  <c r="E949" i="1"/>
  <c r="E948" i="1"/>
  <c r="E945" i="1"/>
  <c r="E944" i="1"/>
  <c r="E943" i="1"/>
  <c r="E940" i="1"/>
  <c r="E939" i="1"/>
  <c r="E938" i="1"/>
  <c r="E937" i="1"/>
  <c r="E936" i="1"/>
  <c r="E935" i="1"/>
  <c r="E934" i="1"/>
  <c r="E930" i="1"/>
  <c r="E927" i="1"/>
  <c r="E924" i="1"/>
  <c r="E921" i="1"/>
  <c r="E917" i="1"/>
  <c r="E914" i="1"/>
  <c r="E911" i="1"/>
  <c r="E908" i="1"/>
  <c r="E905" i="1"/>
  <c r="E904" i="1"/>
  <c r="E903" i="1"/>
  <c r="E902" i="1"/>
  <c r="E901" i="1"/>
  <c r="E900" i="1"/>
  <c r="E899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5" i="1"/>
  <c r="E852" i="1"/>
  <c r="E848" i="1"/>
  <c r="E845" i="1"/>
  <c r="E842" i="1"/>
  <c r="E839" i="1"/>
  <c r="E836" i="1"/>
  <c r="E835" i="1"/>
  <c r="E834" i="1"/>
  <c r="E833" i="1"/>
  <c r="E832" i="1"/>
  <c r="E828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76" i="1"/>
  <c r="E773" i="1"/>
  <c r="E772" i="1"/>
  <c r="E771" i="1"/>
  <c r="E768" i="1"/>
  <c r="E767" i="1"/>
  <c r="E766" i="1"/>
  <c r="E763" i="1"/>
  <c r="E762" i="1"/>
  <c r="E761" i="1"/>
  <c r="E760" i="1"/>
  <c r="E759" i="1"/>
  <c r="E758" i="1"/>
  <c r="E757" i="1"/>
  <c r="E754" i="1"/>
  <c r="E753" i="1"/>
  <c r="E752" i="1"/>
  <c r="E751" i="1"/>
  <c r="E750" i="1"/>
  <c r="E747" i="1"/>
  <c r="E744" i="1"/>
  <c r="E743" i="1"/>
  <c r="E742" i="1"/>
  <c r="E741" i="1"/>
  <c r="E740" i="1"/>
  <c r="E739" i="1"/>
  <c r="E738" i="1"/>
  <c r="E734" i="1"/>
  <c r="E731" i="1"/>
  <c r="E728" i="1"/>
  <c r="E725" i="1"/>
  <c r="E722" i="1"/>
  <c r="E718" i="1"/>
  <c r="E715" i="1"/>
  <c r="E714" i="1"/>
  <c r="E713" i="1"/>
  <c r="E712" i="1"/>
  <c r="E711" i="1"/>
  <c r="E707" i="1"/>
  <c r="E706" i="1"/>
  <c r="E703" i="1"/>
  <c r="E702" i="1"/>
  <c r="E701" i="1"/>
  <c r="E698" i="1"/>
  <c r="E697" i="1"/>
  <c r="E696" i="1"/>
  <c r="E695" i="1"/>
  <c r="E692" i="1"/>
  <c r="E688" i="1"/>
  <c r="E687" i="1"/>
  <c r="E686" i="1"/>
  <c r="E685" i="1"/>
  <c r="E684" i="1"/>
  <c r="E680" i="1"/>
  <c r="E677" i="1"/>
  <c r="E674" i="1"/>
  <c r="E671" i="1"/>
  <c r="E666" i="1"/>
  <c r="E663" i="1"/>
  <c r="E660" i="1"/>
  <c r="E657" i="1"/>
  <c r="E654" i="1"/>
  <c r="E650" i="1"/>
  <c r="E647" i="1"/>
  <c r="E644" i="1"/>
  <c r="E641" i="1"/>
  <c r="E638" i="1"/>
  <c r="E635" i="1"/>
  <c r="E632" i="1"/>
  <c r="E629" i="1"/>
  <c r="E626" i="1"/>
  <c r="E623" i="1"/>
  <c r="E620" i="1"/>
  <c r="E616" i="1"/>
  <c r="E613" i="1"/>
  <c r="E610" i="1"/>
  <c r="E607" i="1"/>
  <c r="E604" i="1"/>
  <c r="E601" i="1"/>
  <c r="E598" i="1"/>
  <c r="E595" i="1"/>
  <c r="E592" i="1"/>
  <c r="E589" i="1"/>
  <c r="E586" i="1"/>
  <c r="E583" i="1"/>
  <c r="E580" i="1"/>
  <c r="E577" i="1"/>
  <c r="E574" i="1"/>
  <c r="E570" i="1"/>
  <c r="E567" i="1"/>
  <c r="E564" i="1"/>
  <c r="E561" i="1"/>
  <c r="E558" i="1"/>
  <c r="E555" i="1"/>
  <c r="E552" i="1"/>
  <c r="E549" i="1"/>
  <c r="E546" i="1"/>
  <c r="E543" i="1"/>
  <c r="E540" i="1"/>
  <c r="E536" i="1"/>
  <c r="E533" i="1"/>
  <c r="E530" i="1"/>
  <c r="E527" i="1"/>
  <c r="E524" i="1"/>
  <c r="E521" i="1"/>
  <c r="E518" i="1"/>
  <c r="E515" i="1"/>
  <c r="E511" i="1"/>
  <c r="E508" i="1"/>
  <c r="E505" i="1"/>
  <c r="E502" i="1"/>
  <c r="E499" i="1"/>
  <c r="E496" i="1"/>
  <c r="E493" i="1"/>
  <c r="E490" i="1"/>
  <c r="E487" i="1"/>
  <c r="E484" i="1"/>
  <c r="E481" i="1"/>
  <c r="E478" i="1"/>
  <c r="E475" i="1"/>
  <c r="E471" i="1"/>
  <c r="E468" i="1"/>
  <c r="E465" i="1"/>
  <c r="E464" i="1"/>
  <c r="E463" i="1"/>
  <c r="E460" i="1"/>
  <c r="E457" i="1"/>
  <c r="E454" i="1"/>
  <c r="E451" i="1"/>
  <c r="E448" i="1"/>
  <c r="E445" i="1"/>
  <c r="E444" i="1"/>
  <c r="E441" i="1"/>
  <c r="E440" i="1"/>
  <c r="E436" i="1"/>
  <c r="E433" i="1"/>
  <c r="E430" i="1"/>
  <c r="E427" i="1"/>
  <c r="E424" i="1"/>
  <c r="E421" i="1"/>
  <c r="E418" i="1"/>
  <c r="E414" i="1"/>
  <c r="E411" i="1"/>
  <c r="E408" i="1"/>
  <c r="E407" i="1"/>
  <c r="E406" i="1"/>
  <c r="E403" i="1"/>
  <c r="E400" i="1"/>
  <c r="E397" i="1"/>
  <c r="E394" i="1"/>
  <c r="E391" i="1"/>
  <c r="E388" i="1"/>
  <c r="E385" i="1"/>
  <c r="E382" i="1"/>
  <c r="E379" i="1"/>
  <c r="E376" i="1"/>
  <c r="E372" i="1"/>
  <c r="E369" i="1"/>
  <c r="E368" i="1"/>
  <c r="E367" i="1"/>
  <c r="E364" i="1"/>
  <c r="E361" i="1"/>
  <c r="E358" i="1"/>
  <c r="E355" i="1"/>
  <c r="E354" i="1"/>
  <c r="E351" i="1"/>
  <c r="E348" i="1"/>
  <c r="E347" i="1"/>
  <c r="E344" i="1"/>
  <c r="E343" i="1"/>
  <c r="E338" i="1"/>
  <c r="E335" i="1"/>
  <c r="E332" i="1"/>
  <c r="E329" i="1"/>
  <c r="E326" i="1"/>
  <c r="E323" i="1"/>
  <c r="E320" i="1"/>
  <c r="E317" i="1"/>
  <c r="E314" i="1"/>
  <c r="E311" i="1"/>
  <c r="E308" i="1"/>
  <c r="E305" i="1"/>
  <c r="E302" i="1"/>
  <c r="E299" i="1"/>
  <c r="E295" i="1"/>
  <c r="E292" i="1"/>
  <c r="E289" i="1"/>
  <c r="E286" i="1"/>
  <c r="E283" i="1"/>
  <c r="E280" i="1"/>
  <c r="E277" i="1"/>
  <c r="E274" i="1"/>
  <c r="E270" i="1"/>
  <c r="E267" i="1"/>
  <c r="E264" i="1"/>
  <c r="E261" i="1"/>
  <c r="E260" i="1"/>
  <c r="E257" i="1"/>
  <c r="E256" i="1"/>
  <c r="E253" i="1"/>
  <c r="E250" i="1"/>
  <c r="E247" i="1"/>
  <c r="E246" i="1"/>
  <c r="E245" i="1"/>
  <c r="E244" i="1"/>
  <c r="E241" i="1"/>
  <c r="E240" i="1"/>
  <c r="E237" i="1"/>
  <c r="E236" i="1"/>
  <c r="E233" i="1"/>
  <c r="E230" i="1"/>
  <c r="E229" i="1"/>
  <c r="E226" i="1"/>
  <c r="E225" i="1"/>
  <c r="E222" i="1"/>
  <c r="E221" i="1"/>
  <c r="E218" i="1"/>
  <c r="E217" i="1"/>
  <c r="E214" i="1"/>
  <c r="E213" i="1"/>
  <c r="E212" i="1"/>
  <c r="E208" i="1"/>
  <c r="E205" i="1"/>
  <c r="E202" i="1"/>
  <c r="E199" i="1"/>
  <c r="E196" i="1"/>
  <c r="E193" i="1"/>
  <c r="E190" i="1"/>
  <c r="E187" i="1"/>
  <c r="E184" i="1"/>
  <c r="E181" i="1"/>
  <c r="E178" i="1"/>
  <c r="E175" i="1"/>
  <c r="E170" i="1"/>
  <c r="E167" i="1"/>
  <c r="E164" i="1"/>
  <c r="E161" i="1"/>
  <c r="E158" i="1"/>
  <c r="E155" i="1"/>
  <c r="E152" i="1"/>
  <c r="E149" i="1"/>
  <c r="E146" i="1"/>
  <c r="E143" i="1"/>
  <c r="E140" i="1"/>
  <c r="E137" i="1"/>
  <c r="E134" i="1"/>
  <c r="E131" i="1"/>
  <c r="E128" i="1"/>
  <c r="E124" i="1"/>
  <c r="E121" i="1"/>
  <c r="E117" i="1"/>
  <c r="E114" i="1"/>
  <c r="E111" i="1"/>
  <c r="E107" i="1"/>
  <c r="E104" i="1"/>
  <c r="E101" i="1"/>
  <c r="E98" i="1"/>
  <c r="E94" i="1"/>
  <c r="E91" i="1"/>
  <c r="E88" i="1"/>
  <c r="E85" i="1"/>
  <c r="E82" i="1"/>
  <c r="E79" i="1"/>
  <c r="E76" i="1"/>
  <c r="E72" i="1"/>
  <c r="E69" i="1"/>
  <c r="E66" i="1"/>
  <c r="E63" i="1"/>
  <c r="E60" i="1"/>
  <c r="E57" i="1"/>
  <c r="E51" i="1"/>
  <c r="E48" i="1"/>
  <c r="E45" i="1"/>
  <c r="E42" i="1"/>
  <c r="E37" i="1"/>
  <c r="E34" i="1"/>
  <c r="E31" i="1"/>
  <c r="E28" i="1"/>
  <c r="E25" i="1"/>
  <c r="E22" i="1"/>
  <c r="E19" i="1"/>
  <c r="E16" i="1"/>
</calcChain>
</file>

<file path=xl/sharedStrings.xml><?xml version="1.0" encoding="utf-8"?>
<sst xmlns="http://schemas.openxmlformats.org/spreadsheetml/2006/main" count="6882" uniqueCount="1934">
  <si>
    <t>Item</t>
  </si>
  <si>
    <t>Código</t>
  </si>
  <si>
    <t>Banco</t>
  </si>
  <si>
    <t>Descrição</t>
  </si>
  <si>
    <t>Und</t>
  </si>
  <si>
    <t>Quant.</t>
  </si>
  <si>
    <t>Valor Unit</t>
  </si>
  <si>
    <t>Valor Unit com BDI</t>
  </si>
  <si>
    <t>Total</t>
  </si>
  <si>
    <t>Peso (%)</t>
  </si>
  <si>
    <t xml:space="preserve"> 1 </t>
  </si>
  <si>
    <t>ADMINISTRAÇÃO LOCAL DE OBRA</t>
  </si>
  <si>
    <t xml:space="preserve"> 1.1 </t>
  </si>
  <si>
    <t xml:space="preserve"> COMP-0001 </t>
  </si>
  <si>
    <t>Próprio</t>
  </si>
  <si>
    <t>PLANILHA DOS CUSTOS DA ADMINISTRAÇÃO LOCAL PARA A OBRA</t>
  </si>
  <si>
    <t>UNIDADE</t>
  </si>
  <si>
    <t xml:space="preserve"> 2 </t>
  </si>
  <si>
    <t>SERVIÇOS PRELIMINARES</t>
  </si>
  <si>
    <t xml:space="preserve"> 2.1 </t>
  </si>
  <si>
    <t xml:space="preserve"> 103689 </t>
  </si>
  <si>
    <t>SINAPI</t>
  </si>
  <si>
    <t>FORNECIMENTO E INSTALAÇÃO DE PLACA DE OBRA COM CHAPA GALVANIZADA E ESTRUTURA DE MADEIRA. AF_03/2022_PS</t>
  </si>
  <si>
    <t>m²</t>
  </si>
  <si>
    <t>Local</t>
  </si>
  <si>
    <t>Fórmula</t>
  </si>
  <si>
    <t>PLACA DE IDENTIFICAÇÃO DA OBRA</t>
  </si>
  <si>
    <t/>
  </si>
  <si>
    <t xml:space="preserve"> 2.2 </t>
  </si>
  <si>
    <t xml:space="preserve"> 98525 </t>
  </si>
  <si>
    <t>LIMPEZA MECANIZADA DE CAMADA VEGETAL, VEGETAÇÃO E PEQUENAS ÁRVORES (DIÂMETRO DE TRONCO MENOR QUE 0,20 M), COM TRATOR DE ESTEIRAS.AF_05/2018</t>
  </si>
  <si>
    <t>QUANTITATIVO EXTRAÍDO DO PROJETO QUE FOI REALIZADO A METODOLOGIA BIM</t>
  </si>
  <si>
    <t xml:space="preserve"> 2.3 </t>
  </si>
  <si>
    <t xml:space="preserve"> 98459 </t>
  </si>
  <si>
    <t>TAPUME COM TELHA METÁLICA. AF_05/2018</t>
  </si>
  <si>
    <t>TAPUMES AO ENTORNO DO TERRENO DA EDIFICAÇÃO, 384,20 M DE COMPRIMENTO POR 2 M DE ALTURA.</t>
  </si>
  <si>
    <t xml:space="preserve"> 2.4 </t>
  </si>
  <si>
    <t xml:space="preserve"> COMP-012 </t>
  </si>
  <si>
    <t>INSTALAÇÕES PROVISÓRIAS DE LUZ, FORÇA, TELEFONE E LÓGICA</t>
  </si>
  <si>
    <t>Unidade</t>
  </si>
  <si>
    <t>INSTALAÇÃO PROVISÓRIA</t>
  </si>
  <si>
    <t xml:space="preserve"> 2.5 </t>
  </si>
  <si>
    <t xml:space="preserve"> C4994 </t>
  </si>
  <si>
    <t>SEINFRA</t>
  </si>
  <si>
    <t>LOCAÇÃO DE CONTÊINER ALMOXARIFADO COM PISO NAVAL - 6,00M X 2,35M</t>
  </si>
  <si>
    <t>MÊS</t>
  </si>
  <si>
    <t xml:space="preserve"> 2.6 </t>
  </si>
  <si>
    <t xml:space="preserve"> C4997 </t>
  </si>
  <si>
    <t>LOCAÇÃO DE CONTÊINER ESCRITÓRIO COM BANHEIRO (01 VASO SANITÁRIO, 01 LAVATÓRIO E 01 CHUVEIRO), JANELA EM VIDRO, PORTAS, LUMINÁRIAS, TOMADAS, FORRO EM PVC, AR CONDICIONADO E ISOLAMENTO TERMO-ACÚSTICO EM ISOPOR - 6,00 X 2,35M</t>
  </si>
  <si>
    <t xml:space="preserve"> 2.7 </t>
  </si>
  <si>
    <t xml:space="preserve"> 99059 </t>
  </si>
  <si>
    <t>LOCACAO CONVENCIONAL DE OBRA, UTILIZANDO GABARITO DE TÁBUAS CORRIDAS PONTALETADAS A CADA 2,00M -  2 UTILIZAÇÕES. AF_10/2018</t>
  </si>
  <si>
    <t>M</t>
  </si>
  <si>
    <t>PERÍMETRO DAS FUNDAÇÃO DO PISO INFERIOR CONFORME PROJETO DE ESTRUTURA</t>
  </si>
  <si>
    <t xml:space="preserve"> 2.8 </t>
  </si>
  <si>
    <t xml:space="preserve"> 2548 </t>
  </si>
  <si>
    <t>ORSE</t>
  </si>
  <si>
    <t>Locação de serviços de terraplenagem de obras civis</t>
  </si>
  <si>
    <t>ÁREA TOTAL DAS OBRAS DE ACORCO COM OS PROJETO QUE FOI REALIZADO A METODOLOGIA BIM</t>
  </si>
  <si>
    <t xml:space="preserve"> 3 </t>
  </si>
  <si>
    <t>MOVIMENTO DE TERRA (TERRAPLENAGEM)</t>
  </si>
  <si>
    <t xml:space="preserve"> 3.1 </t>
  </si>
  <si>
    <t>TERRENO (TERRAPLENAGEM)</t>
  </si>
  <si>
    <t xml:space="preserve"> 3.1.1 </t>
  </si>
  <si>
    <t xml:space="preserve"> 101220 </t>
  </si>
  <si>
    <t>ESCAVAÇÃO VERTICAL PARA  EDIFICAÇÃO, COM CARGA, DESCARGA E TRANSPORTE DE SOLO DE 1ª CATEGORIA, COM ESCAVADEIRA HIDRÁULICA (CAÇAMBA: 1,2 M³ / 155 HP), FROTA DE 5 CAMINHÕES BASCULANTES DE 14 M³, DMT DE 1,5 KM E VELOCIDADE MÉDIA 18 KM/H. AF_05/2020</t>
  </si>
  <si>
    <t>m³</t>
  </si>
  <si>
    <t>QUANTITATIVO EXTRAÍDO DO PROJETO DO PROJETO DE TERRAPLENAGEM, ATRÁVES DO SOFT CIVIL 3D, CONSIDERANDO O GRAU DE EMPOLAMENTO DE 1.25</t>
  </si>
  <si>
    <t xml:space="preserve"> 3.1.2 </t>
  </si>
  <si>
    <t xml:space="preserve"> 5502967 </t>
  </si>
  <si>
    <t>SICRO3</t>
  </si>
  <si>
    <t>Escavação em material de 3ª categoria - resistência à compressão acima de 110 MPa - com escavadeira e rompedorhidráulico 1.700 kg</t>
  </si>
  <si>
    <t>AFLORAMENTO DE ROCHAS NA SUPERFÍCIE NOS LOCAIS DAS FUNDAÇÕES DA CISTERNA E CASTELOS D' ÁGUA, SENDO NECESSÁRIO A REMOÇÃO PARA APROFUNDAMENTO DAS COTAS DE ACORDO COM O PROJETO DE ESTRUTURA</t>
  </si>
  <si>
    <t xml:space="preserve"> 3.1.3 </t>
  </si>
  <si>
    <t xml:space="preserve"> 96385 </t>
  </si>
  <si>
    <t>EXECUÇÃO E COMPACTAÇÃO DE ATERRO COM SOLO PREDOMINANTEMENTE ARGILOSO - EXCLUSIVE SOLO, ESCAVAÇÃO, CARGA E TRANSPORTE. AF_11/2019</t>
  </si>
  <si>
    <t xml:space="preserve"> 3.1.4 </t>
  </si>
  <si>
    <t xml:space="preserve"> 00006081 </t>
  </si>
  <si>
    <t>ARGILA OU BARRO PARA ATERRO/REATERRO (COM TRANSPORTE ATE 10 KM)</t>
  </si>
  <si>
    <t>M³</t>
  </si>
  <si>
    <t xml:space="preserve"> 3.2 </t>
  </si>
  <si>
    <t>RESERVATÓRIOS</t>
  </si>
  <si>
    <t xml:space="preserve"> 3.2.1 </t>
  </si>
  <si>
    <t>RESERVATÓRIO INFERIOR</t>
  </si>
  <si>
    <t xml:space="preserve"> 3.2.1.1 </t>
  </si>
  <si>
    <t>PAREDES DE ELEVAÇÃO (CORTINAS DE CONCRETO)</t>
  </si>
  <si>
    <t xml:space="preserve"> 3.2.1.1.1 </t>
  </si>
  <si>
    <t xml:space="preserve"> 100343 </t>
  </si>
  <si>
    <t>ARMAÇÃO DE CORTINA DE CONTENÇÃO EM CONCRETO ARMADO, COM AÇO CA-50 DE 8 MM - MONTAGEM. AF_07/2019</t>
  </si>
  <si>
    <t>KG</t>
  </si>
  <si>
    <t>QUANTITATIVO EXTRAÍDO DO PROJETO ESTRUTURAL</t>
  </si>
  <si>
    <t xml:space="preserve"> 3.2.1.1.2 </t>
  </si>
  <si>
    <t xml:space="preserve"> 100344 </t>
  </si>
  <si>
    <t>ARMAÇÃO DE CORTINA DE CONTENÇÃO EM CONCRETO ARMADO, COM AÇO CA-50 DE 10 MM - MONTAGEM. AF_07/2019</t>
  </si>
  <si>
    <t xml:space="preserve"> 3.2.1.1.3 </t>
  </si>
  <si>
    <t xml:space="preserve"> 100346 </t>
  </si>
  <si>
    <t>ARMAÇÃO DE CORTINA DE CONTENÇÃO EM CONCRETO ARMADO, COM AÇO CA-50 DE 16 MM - MONTAGEM. AF_07/2019</t>
  </si>
  <si>
    <t xml:space="preserve"> 3.2.1.1.4 </t>
  </si>
  <si>
    <t xml:space="preserve"> 100341 </t>
  </si>
  <si>
    <t>FABRICAÇÃO, MONTAGEM E DESMONTAGEM DE FÔRMA PARA CORTINA DE CONTENÇÃO, EM CHAPA DE MADEIRA COMPENSADA PLASTIFICADA, E = 18 MM, 10 UTILIZAÇÕES. AF_07/2019</t>
  </si>
  <si>
    <t xml:space="preserve"> 3.2.1.1.5 </t>
  </si>
  <si>
    <t xml:space="preserve"> 94965 </t>
  </si>
  <si>
    <t>CONCRETO FCK = 25MPA, TRAÇO 1:2,3:2,7 (EM MASSA SECA DE CIMENTO/ AREIA MÉDIA/ BRITA 1) - PREPARO MECÂNICO COM BETONEIRA 400 L. AF_05/2021</t>
  </si>
  <si>
    <t xml:space="preserve"> 3.2.1.1.6 </t>
  </si>
  <si>
    <t xml:space="preserve"> 103673 </t>
  </si>
  <si>
    <t>LANÇAMENTO COM USO DE BOMBA, ADENSAMENTO E ACABAMENTO DE CONCRETO EM ESTRUTURAS. AF_02/2022</t>
  </si>
  <si>
    <t xml:space="preserve"> 3.2.1.2 </t>
  </si>
  <si>
    <t>LAJE DE COBERTURA</t>
  </si>
  <si>
    <t xml:space="preserve"> 3.2.1.2.1 </t>
  </si>
  <si>
    <t xml:space="preserve"> 92510 </t>
  </si>
  <si>
    <t>MONTAGEM E DESMONTAGEM DE FÔRMA DE LAJE MACIÇA, PÉ-DIREITO SIMPLES, EM CHAPA DE MADEIRA COMPENSADA RESINADA, 2 UTILIZAÇÕES. AF_09/2020</t>
  </si>
  <si>
    <t xml:space="preserve"> 3.2.1.2.2 </t>
  </si>
  <si>
    <t xml:space="preserve"> 92769 </t>
  </si>
  <si>
    <t>ARMAÇÃO DE LAJE DE ESTRUTURA CONVENCIONAL DE CONCRETO ARMADO UTILIZANDO AÇO CA-50 DE 6,3 MM - MONTAGEM. AF_06/2022</t>
  </si>
  <si>
    <t xml:space="preserve"> 3.2.1.2.3 </t>
  </si>
  <si>
    <t xml:space="preserve"> 92770 </t>
  </si>
  <si>
    <t>ARMAÇÃO DE LAJE DE ESTRUTURA CONVENCIONAL DE CONCRETO ARMADO UTILIZANDO AÇO CA-50 DE 8,0 MM - MONTAGEM. AF_06/2022</t>
  </si>
  <si>
    <t xml:space="preserve"> 3.2.1.2.4 </t>
  </si>
  <si>
    <t xml:space="preserve"> 92771 </t>
  </si>
  <si>
    <t>ARMAÇÃO DE LAJE DE ESTRUTURA CONVENCIONAL DE CONCRETO ARMADO UTILIZANDO AÇO CA-50 DE 10,0 MM - MONTAGEM. AF_06/2022</t>
  </si>
  <si>
    <t xml:space="preserve"> 3.2.1.2.5 </t>
  </si>
  <si>
    <t xml:space="preserve"> 3.2.1.2.6 </t>
  </si>
  <si>
    <t xml:space="preserve"> 3.2.1.2.7 </t>
  </si>
  <si>
    <t xml:space="preserve"> PMT-CP 0008 </t>
  </si>
  <si>
    <t>TAMPA PARA CAIXA, EM CHAPA DE FERRO E CANTONEIRAS DE 1" X 1", DIMENSÕES INTERNAS: 0,80 X 0,80 M - FORNECIMENTO E INSTALAÇÃO.</t>
  </si>
  <si>
    <t>DUAS UNIDADES, UMA PARA CADA RESERVATÓRIO</t>
  </si>
  <si>
    <t xml:space="preserve"> 3.2.1.3 </t>
  </si>
  <si>
    <t>REVESTIMENTO/IMPERMEABILIZAÇÃO (PAREDES)</t>
  </si>
  <si>
    <t xml:space="preserve"> 3.2.1.3.1 </t>
  </si>
  <si>
    <t xml:space="preserve"> 87874 </t>
  </si>
  <si>
    <t>CHAPISCO APLICADO TANTO EM PILARES E VIGAS DE CONCRETO COMO EM ALVENARIAS DE PAREDES INTERNAS, COM ROLO PARA TEXTURA ACRÍLICA. ARGAMASSA TRAÇO 1:4 E EMULSÃO POLIMÉRICA (ADESIVO) COM PREPARO EM BETONEIRA 400L. AF_06/2014</t>
  </si>
  <si>
    <t>P1 = 6,81 X 1,80; P2= 4,91 X 1,80; P3= 6,81 X 1,80; P4= 4,91 X 1,80 = 42,192 M² X 2 RESERVATÓRIOS =  84,384</t>
  </si>
  <si>
    <t xml:space="preserve"> 3.2.1.3.2 </t>
  </si>
  <si>
    <t xml:space="preserve"> 87531 </t>
  </si>
  <si>
    <t>EMBOÇO, PARA RECEBIMENTO DE CERÂMICA, EM ARGAMASSA TRAÇO 1:2:8, PREPARO MECÂNICO COM BETONEIRA 400L, APLICADO MANUALMENTE EM FACES INTERNAS DE PAREDES, PARA AMBIENTE COM ÁREA ENTRE 5M2 E 10M2, ESPESSURA DE 20MM, COM EXECUÇÃO DE TALISCAS. AF_06/2014</t>
  </si>
  <si>
    <t xml:space="preserve"> 3.2.1.3.3 </t>
  </si>
  <si>
    <t xml:space="preserve"> PMT-CP 0007 </t>
  </si>
  <si>
    <t>REVESTIMENTO CERÂMICO PARA PAREDES ÁREAS MOLHADAS (PISCINA/TANQUES) COM PLACAS TIPO ESMALTADA EXTRA, COM REJUNTE EPOXI PARA (PISCINA/TANQUES) APLICADAS EM AMBIENTES DE ÁREA MAIOR QUE 5 M² NA ALTURA INTEIRA DAS PAREDES.</t>
  </si>
  <si>
    <t>M²</t>
  </si>
  <si>
    <t xml:space="preserve"> 3.2.1.3.4 </t>
  </si>
  <si>
    <t xml:space="preserve"> 98556 </t>
  </si>
  <si>
    <t>IMPERMEABILIZIMPERMEABILIZAÇÃO DE SUPERFÍCIE COM ARGAMASSA POLIMÉRICA / MEMBRANA ACRÍLICA, 4 DEMÃOS, REFORÇADA COM VÉU DE POLIÉSTER (MAV). AF_09/2023</t>
  </si>
  <si>
    <t xml:space="preserve"> 3.2.1.4 </t>
  </si>
  <si>
    <t>REVESTIMENTO/IMPERMEABILIZAÇÃO (PISOS)</t>
  </si>
  <si>
    <t xml:space="preserve"> 3.2.1.4.1 </t>
  </si>
  <si>
    <t xml:space="preserve"> 98554 </t>
  </si>
  <si>
    <t>IMPERMEABILIZAÇÃO DE SUPERFÍCIE COM MEMBRANA À BASE DE RESINA ACRÍLICA, 3 DEMÃOS. AF_09/2023</t>
  </si>
  <si>
    <t>ÁREA DE PISO DO RESERVATÓRIO = 6,81 X 4,91 X 2 UNIDADES</t>
  </si>
  <si>
    <t xml:space="preserve"> 3.2.1.4.2 </t>
  </si>
  <si>
    <t xml:space="preserve"> 87765 </t>
  </si>
  <si>
    <t>CONTRAPISO EM ARGAMASSA TRAÇO 1:4 (CIMENTO E AREIA), PREPARO MECÂNICO COM BETONEIRA 400 L, APLICADO EM ÁREAS MOLHADAS SOBRE IMPERMEABILIZAÇÃO, ACABAMENTO NÃO REFORÇADO, ESPESSURA 4CM. AF_07/2021</t>
  </si>
  <si>
    <t xml:space="preserve"> 3.2.1.4.3 </t>
  </si>
  <si>
    <t xml:space="preserve"> 3.2.2 </t>
  </si>
  <si>
    <t>CASTELOS DE ÁGUA</t>
  </si>
  <si>
    <t xml:space="preserve"> 3.2.2.1 </t>
  </si>
  <si>
    <t>IMPERMEABILIZAÇÃO DA FACE DE CONTATO COM O RESERVATÓRIO, 2,80 M X 2,80 M.</t>
  </si>
  <si>
    <t xml:space="preserve"> 3.2.2.2 </t>
  </si>
  <si>
    <t xml:space="preserve"> 3.2.3 </t>
  </si>
  <si>
    <t>REAPROVEITAMENTO</t>
  </si>
  <si>
    <t xml:space="preserve"> 3.2.3.1 </t>
  </si>
  <si>
    <t xml:space="preserve"> 92800 </t>
  </si>
  <si>
    <t>CORTE E DOBRA DE AÇO CA-60, DIÂMETRO DE 5,0 MM. AF_06/2022</t>
  </si>
  <si>
    <t xml:space="preserve"> 3.2.3.2 </t>
  </si>
  <si>
    <t xml:space="preserve"> 92801 </t>
  </si>
  <si>
    <t>CORTE E DOBRA DE AÇO CA-50, DIÂMETRO DE 6,3 MM. AF_06/2022</t>
  </si>
  <si>
    <t xml:space="preserve"> 3.2.3.3 </t>
  </si>
  <si>
    <t xml:space="preserve"> 92802 </t>
  </si>
  <si>
    <t>CORTE E DOBRA DE AÇO CA-50, DIÂMETRO DE 8,0 MM. AF_06/2022</t>
  </si>
  <si>
    <t xml:space="preserve"> 3.2.3.4 </t>
  </si>
  <si>
    <t xml:space="preserve"> 92803 </t>
  </si>
  <si>
    <t>CORTE E DOBRA DE AÇO CA-50, DIÂMETRO DE 10,0 MM. AF_06/2022</t>
  </si>
  <si>
    <t xml:space="preserve"> 3.2.3.5 </t>
  </si>
  <si>
    <t xml:space="preserve"> 92270 </t>
  </si>
  <si>
    <t>FABRICAÇÃO DE FÔRMA PARA VIGAS, COM MADEIRA SERRADA, E = 25 MM. AF_09/2020</t>
  </si>
  <si>
    <t xml:space="preserve"> 3.2.3.6 </t>
  </si>
  <si>
    <t xml:space="preserve"> 92269 </t>
  </si>
  <si>
    <t>FABRICAÇÃO DE FÔRMA PARA PILARES E ESTRUTURAS SIMILARES, EM MADEIRA SERRADA, E=25 MM. AF_09/2020</t>
  </si>
  <si>
    <t xml:space="preserve"> 3.2.3.7 </t>
  </si>
  <si>
    <t xml:space="preserve"> 94972 </t>
  </si>
  <si>
    <t>CONCRETO FCK = 30MPA, TRAÇO 1:2,1:2,5 (EM MASSA SECA DE CIMENTO/ AREIA MÉDIA/ BRITA 1) - PREPARO MECÂNICO COM BETONEIRA 600 L. AF_05/2021</t>
  </si>
  <si>
    <t xml:space="preserve"> 3.2.3.8 </t>
  </si>
  <si>
    <t xml:space="preserve"> 3.2.3.9 </t>
  </si>
  <si>
    <t xml:space="preserve"> 103334 </t>
  </si>
  <si>
    <t>ALVENARIA DE VEDAÇÃO DE BLOCOS CERÂMICOS FURADOS NA HORIZONTAL DE 14X9X19 CM (ESPESSURA 14 CM, BLOCO DEITADO) E ARGAMASSA DE ASSENTAMENTO COM PREPARO EM BETONEIRA. AF_12/2021</t>
  </si>
  <si>
    <t xml:space="preserve"> 3.2.3.10 </t>
  </si>
  <si>
    <t xml:space="preserve"> 87879 </t>
  </si>
  <si>
    <t>CHAPISCO APLICADO EM ALVENARIAS E ESTRUTURAS DE CONCRETO INTERNAS, COM COLHER DE PEDREIRO.  ARGAMASSA TRAÇO 1:3 COM PREPARO EM BETONEIRA 400L. AF_10/2022</t>
  </si>
  <si>
    <t xml:space="preserve"> 3.2.3.11 </t>
  </si>
  <si>
    <t xml:space="preserve"> 87530 </t>
  </si>
  <si>
    <t>MASSA ÚNICA, PARA RECEBIMENTO DE PINTURA, EM ARGAMASSA TRAÇO 1:2:8, PREPARO MANUAL, APLICADA MANUALMENTE EM FACES INTERNAS DE PAREDES, ESPESSURA DE 20MM, COM EXECUÇÃO DE TALISCAS. AF_06/2014</t>
  </si>
  <si>
    <t xml:space="preserve"> 3.2.3.12 </t>
  </si>
  <si>
    <t xml:space="preserve"> 3.2.3.13 </t>
  </si>
  <si>
    <t xml:space="preserve"> COMP-LJ </t>
  </si>
  <si>
    <t>LAJE PRÉ-MOLDADA UNIDIRECIONAL, BIAPOIADA, ENCHIMENTO EM EPS, VIGOTA CONVENCIONAL, ALTURA TOTAL DA LAJE (ENCHIMENTO+CAPA) = (12+4)</t>
  </si>
  <si>
    <t xml:space="preserve"> 3.2.3.14 </t>
  </si>
  <si>
    <t xml:space="preserve"> 102492 </t>
  </si>
  <si>
    <t>PINTURA DE PISO COM TINTA ACRÍLICA, APLICAÇÃO MANUAL, 3 DEMÃOS, INCLUSO FUNDO PREPARADOR. AF_05/2021</t>
  </si>
  <si>
    <t xml:space="preserve"> 3.2.3.15 </t>
  </si>
  <si>
    <t xml:space="preserve"> 3.3 </t>
  </si>
  <si>
    <t>PISCINA</t>
  </si>
  <si>
    <t xml:space="preserve"> 3.3.1 </t>
  </si>
  <si>
    <t>PAREDES DE ELEVAÇÃO (CORTINA DE CONCRETO)</t>
  </si>
  <si>
    <t xml:space="preserve"> 3.3.1.1 </t>
  </si>
  <si>
    <t xml:space="preserve"> 3.3.1.2 </t>
  </si>
  <si>
    <t xml:space="preserve"> 100342 </t>
  </si>
  <si>
    <t>ARMAÇÃO DE CORTINA DE CONTENÇÃO EM CONCRETO ARMADO, COM AÇO CA-50 DE 6,3 MM - MONTAGEM. AF_07/2019</t>
  </si>
  <si>
    <t xml:space="preserve"> 3.3.1.3 </t>
  </si>
  <si>
    <t xml:space="preserve"> 3.3.1.4 </t>
  </si>
  <si>
    <t xml:space="preserve"> 3.3.1.5 </t>
  </si>
  <si>
    <t xml:space="preserve"> 100345 </t>
  </si>
  <si>
    <t>ARMAÇÃO DE CORTINA DE CONTENÇÃO EM CONCRETO ARMADO, COM AÇO CA-50 DE 12,5 MM - MONTAGEM. AF_07/2019</t>
  </si>
  <si>
    <t xml:space="preserve"> 3.3.1.6 </t>
  </si>
  <si>
    <t xml:space="preserve"> 3.3.1.7 </t>
  </si>
  <si>
    <t xml:space="preserve"> 3.3.1.8 </t>
  </si>
  <si>
    <t xml:space="preserve"> 94966 </t>
  </si>
  <si>
    <t>CONCRETO FCK = 30MPA, TRAÇO 1:2,1:2,5 (EM MASSA SECA DE CIMENTO/ AREIA MÉDIA/ BRITA 1) - PREPARO MECÂNICO COM BETONEIRA 400 L. AF_05/2021</t>
  </si>
  <si>
    <t xml:space="preserve"> 3.3.1.9 </t>
  </si>
  <si>
    <t xml:space="preserve"> 3.3.1.10 </t>
  </si>
  <si>
    <t xml:space="preserve"> 3.3.1.11 </t>
  </si>
  <si>
    <t xml:space="preserve"> 3.3.1.12 </t>
  </si>
  <si>
    <t xml:space="preserve"> 2417 </t>
  </si>
  <si>
    <t>Escada tipo piscina em aço inox</t>
  </si>
  <si>
    <t>m</t>
  </si>
  <si>
    <t xml:space="preserve"> 3.4 </t>
  </si>
  <si>
    <t>MUROS</t>
  </si>
  <si>
    <t xml:space="preserve"> 3.4.1 </t>
  </si>
  <si>
    <t xml:space="preserve"> 2503 </t>
  </si>
  <si>
    <t>Escavação com retro-escavadeira de pneus, de valas, em material de 1ª categoria até 1,50m de profundidade</t>
  </si>
  <si>
    <t>VALA PARA ALVENARIA DE EMBASAMENTO (LOCAL COM MURO EM PLACAS DE CONCRETO)</t>
  </si>
  <si>
    <t>VALA PARA ALVENARIA DE PEDRA RCHÃO (MURO DOS FUNDOS)</t>
  </si>
  <si>
    <t>VALA PARA ALVENARIA DE EMBASAMENTO (LOCAL COM GRADIL NYLONFOR)</t>
  </si>
  <si>
    <t xml:space="preserve"> 3.4.2 </t>
  </si>
  <si>
    <t xml:space="preserve"> 95241 </t>
  </si>
  <si>
    <t>LASTRO DE CONCRETO MAGRO, APLICADO EM PISOS, LAJES SOBRE SOLO OU RADIERS, ESPESSURA DE 5 CM. AF_01/2024</t>
  </si>
  <si>
    <t>VALA PARA ALVENARIA DE EMBASAMENTO (LOCAL COM MURO DE PLACAS EM CONCRETO)</t>
  </si>
  <si>
    <t xml:space="preserve"> 3.4.3 </t>
  </si>
  <si>
    <t xml:space="preserve"> C4592 </t>
  </si>
  <si>
    <t>ALVENARIA DE EMBASAMENTO EM TIJOLO CERÂMICO FURADO C/ ARGAMASSA CIMENTO E AREIA 1:4</t>
  </si>
  <si>
    <t>EMBASAMENTO (LOCAL COM MURO DE PLACAS EM CONCRETO)</t>
  </si>
  <si>
    <t>EMBASAMENTO (LOCAL DOS MUROS EM GRADIL NYLONFOR)</t>
  </si>
  <si>
    <t xml:space="preserve"> 3.4.4 </t>
  </si>
  <si>
    <t>CINTA DE TRAVAMENTO E PILARETES (LOCAL COM GRADIL NYLONFOR)</t>
  </si>
  <si>
    <t>CINTA DE TRAVAMENTO (LOCAL COM MURO EM PLACAS DE CONCRETO)</t>
  </si>
  <si>
    <t xml:space="preserve"> 3.4.5 </t>
  </si>
  <si>
    <t>CINTA DE TRAVAMENTO (LOCAL COM GRADIL NYLONFOR)</t>
  </si>
  <si>
    <t xml:space="preserve"> 3.4.6 </t>
  </si>
  <si>
    <t>PILARETES</t>
  </si>
  <si>
    <t xml:space="preserve"> 3.4.7 </t>
  </si>
  <si>
    <t xml:space="preserve"> 96536 </t>
  </si>
  <si>
    <t>FABRICAÇÃO, MONTAGEM E DESMONTAGEM DE FÔRMA PARA VIGA BALDRAME, EM MADEIRA SERRADA, E=25 MM, 4 UTILIZAÇÕES. AF_01/2024</t>
  </si>
  <si>
    <t xml:space="preserve"> 3.4.8 </t>
  </si>
  <si>
    <t>CHUMBAMENTO DOS POSTES (LOCAL COM MURO EM PLACAS DE CONCRETO)</t>
  </si>
  <si>
    <t>PILARETES (LOCAL COM GRADIL NYLONFOR)</t>
  </si>
  <si>
    <t xml:space="preserve"> 3.4.9 </t>
  </si>
  <si>
    <t>VIGA DE TRAVAMENTO (LOCAL COM MURO EM PLACAS DE CONCRETO)</t>
  </si>
  <si>
    <t>VIGA DE TRAVAMENTO (LOCAL COM GRADIL NYLONFOR)</t>
  </si>
  <si>
    <t xml:space="preserve"> 3.4.10 </t>
  </si>
  <si>
    <t xml:space="preserve"> 103670 </t>
  </si>
  <si>
    <t>LANÇAMENTO COM USO DE BALDES, ADENSAMENTO E ACABAMENTO DE CONCRETO EM ESTRUTURAS. AF_02/2022</t>
  </si>
  <si>
    <t>QUANTITATIVO IGUAL AO ITEM DE CONCRETO</t>
  </si>
  <si>
    <t xml:space="preserve"> 3.4.11 </t>
  </si>
  <si>
    <t xml:space="preserve"> 103328 </t>
  </si>
  <si>
    <t>ALVENARIA DE VEDAÇÃO DE BLOCOS CERÂMICOS FURADOS NA HORIZONTAL DE 9X19X19 CM (ESPESSURA 9 CM) E ARGAMASSA DE ASSENTAMENTO COM PREPARO EM BETONEIRA. AF_12/2021</t>
  </si>
  <si>
    <t>MURETA ABAIXO DO GRADIL</t>
  </si>
  <si>
    <t xml:space="preserve"> 3.4.12 </t>
  </si>
  <si>
    <t xml:space="preserve"> 87894 </t>
  </si>
  <si>
    <t>CHAPISCO APLICADO EM ALVENARIA (SEM PRESENÇA DE VÃOS) E ESTRUTURAS DE CONCRETO DE FACHADA, COM COLHER DE PEDREIRO.  ARGAMASSA TRAÇO 1:3 COM PREPARO EM BETONEIRA 400L. AF_10/2022</t>
  </si>
  <si>
    <t>MURETA ABAIXO DO GRADIL NYLONFOR</t>
  </si>
  <si>
    <t>EMBASAMENTO (LOCAL COM MURO EM PLACAS DE CONCRETO)</t>
  </si>
  <si>
    <t xml:space="preserve"> 3.4.13 </t>
  </si>
  <si>
    <t xml:space="preserve"> 87794 </t>
  </si>
  <si>
    <t>EMBOÇO OU MASSA ÚNICA EM ARGAMASSA TRAÇO 1:2:8, PREPARO MANUAL, APLICADA MANUALMENTE EM PANOS CEGOS DE FACHADA (SEM PRESENÇA DE VÃOS), ESPESSURA DE 25 MM. AF_09/2022</t>
  </si>
  <si>
    <t xml:space="preserve"> 3.4.14 </t>
  </si>
  <si>
    <t xml:space="preserve"> C4730 </t>
  </si>
  <si>
    <t>CERCA/GRADIL NYLOFOR H=1,53M, MALHA 5 X 20CM - FIO 4,30MM, COM FIXADORES DE POLIAMIDA EM POSTE 40 x 60 MM CHUMBADOS EM BASE DE CONCRETO (EXCLUSIVE ESTA) , REVESTIDOS EM POLIESTER POR PROCESSO DE PINTURA ELETROSTÁTICA (GRADIL E POSTE), NAS CORES VERDE OU BRANCA - FORNECIMENTO E INSTALAÇÃO</t>
  </si>
  <si>
    <t>QUANTITATIVO CONFORME PROJETO ARQUITETÔNICO</t>
  </si>
  <si>
    <t xml:space="preserve"> 3.4.15 </t>
  </si>
  <si>
    <t xml:space="preserve"> C1806 </t>
  </si>
  <si>
    <t>MURO C/MOURÕES E PLACAS PRÉ-FABRICADAS DE CONCRETO H=2.00M</t>
  </si>
  <si>
    <t>QUANTITATIVO EXTRAÍDO DO PROJETO DE ARQUITETURA (IMPLANTAÇÃO), DESENVOLVIDO NA MEDOTOLOGIA BIM</t>
  </si>
  <si>
    <t xml:space="preserve"> 3.4.16 </t>
  </si>
  <si>
    <t xml:space="preserve"> 1506055 </t>
  </si>
  <si>
    <t>Pedra argamassada com cimento e areia 1:3 - areia e pedra de mão comercial - fornecimento e assentamento</t>
  </si>
  <si>
    <t>QUANTITATIVOS DE ACORDO COM LEVANTAMENTO TOPOGRAFICO E PROJETO DE TERRAPLENAGEM</t>
  </si>
  <si>
    <t xml:space="preserve"> 3.5 </t>
  </si>
  <si>
    <t>MURO DE CONTENÇÃO</t>
  </si>
  <si>
    <t xml:space="preserve"> 3.5.1 </t>
  </si>
  <si>
    <t xml:space="preserve"> 96616 </t>
  </si>
  <si>
    <t>LASTRO DE CONCRETO MAGRO, APLICADO EM BLOCOS DE COROAMENTO OU SAPATAS. AF_01/2024</t>
  </si>
  <si>
    <t xml:space="preserve"> 3.5.2 </t>
  </si>
  <si>
    <t>QUANTITATIVO EXTRAÍDO DO PROJETO QUE FOI REALIZADO A METODOLOGIA BIM, ONDE REFERE-SE A 5 METROS, MULTIPLICA PELO COMPRIMENTO DO MURO</t>
  </si>
  <si>
    <t xml:space="preserve"> 3.5.3 </t>
  </si>
  <si>
    <t xml:space="preserve"> 92804 </t>
  </si>
  <si>
    <t>CORTE E DOBRA DE AÇO CA-50, DIÂMETRO DE 12,5 MM. AF_06/2022</t>
  </si>
  <si>
    <t>QUAQUANTITATIVO EXTRAÍDO DO PROJETO QUE FOI REALIZADO A METODOLOGIA BIM, ONDE REFERE-SE A 5 METROS, MULTIPLICA PELO COMPRIMENTO DO MURO</t>
  </si>
  <si>
    <t xml:space="preserve"> 3.5.4 </t>
  </si>
  <si>
    <t xml:space="preserve"> 92805 </t>
  </si>
  <si>
    <t>CORTE E DOBRA DE AÇO CA-50, DIÂMETRO DE 16,0 MM. AF_06/2022</t>
  </si>
  <si>
    <t xml:space="preserve"> 3.5.5 </t>
  </si>
  <si>
    <t xml:space="preserve"> 92806 </t>
  </si>
  <si>
    <t>CORTE E DOBRA DE AÇO CA-50, DIÂMETRO DE 20,0 MM. AF_06/2022</t>
  </si>
  <si>
    <t xml:space="preserve"> 3.5.6 </t>
  </si>
  <si>
    <t xml:space="preserve"> 3.5.7 </t>
  </si>
  <si>
    <t xml:space="preserve"> 102723 </t>
  </si>
  <si>
    <t>DRENO EM MURO DE CONTENÇÃO, EXECUTADO NO PÉ DO MURO, COM TUBO DE PVC CORRUGADO RÍGIDO PERFURADO, ENCHIMENTO COM BRITA, ENVOLVIDO COM MANTA GEOTÊXTIL. AF_07/2021</t>
  </si>
  <si>
    <t xml:space="preserve"> 3.5.8 </t>
  </si>
  <si>
    <t xml:space="preserve"> 100349 </t>
  </si>
  <si>
    <t>CONCRETAGEM DE CORTINA DE CONTENÇÃO, ATRAVÉS DE BOMBA   LANÇAMENTO, ADENSAMENTO E ACABAMENTO. AF_07/2019</t>
  </si>
  <si>
    <t xml:space="preserve"> 3.6 </t>
  </si>
  <si>
    <t>FOSSA SEPTICA</t>
  </si>
  <si>
    <t xml:space="preserve"> 3.6.1 </t>
  </si>
  <si>
    <t xml:space="preserve"> 3.6.2 </t>
  </si>
  <si>
    <t xml:space="preserve"> 3.6.3 </t>
  </si>
  <si>
    <t xml:space="preserve"> 3.6.4 </t>
  </si>
  <si>
    <t xml:space="preserve"> 3.6.5 </t>
  </si>
  <si>
    <t xml:space="preserve"> 3.6.6 </t>
  </si>
  <si>
    <t xml:space="preserve"> 3.6.7 </t>
  </si>
  <si>
    <t xml:space="preserve"> 3.6.8 </t>
  </si>
  <si>
    <t xml:space="preserve"> 3.6.9 </t>
  </si>
  <si>
    <t xml:space="preserve"> 3.6.10 </t>
  </si>
  <si>
    <t xml:space="preserve"> 3.6.11 </t>
  </si>
  <si>
    <t xml:space="preserve"> 3.6.12 </t>
  </si>
  <si>
    <t xml:space="preserve"> 3.6.13 </t>
  </si>
  <si>
    <t xml:space="preserve"> 3.6.14 </t>
  </si>
  <si>
    <t xml:space="preserve"> 4 </t>
  </si>
  <si>
    <t>FUNDAÇÕES</t>
  </si>
  <si>
    <t xml:space="preserve"> 4.1 </t>
  </si>
  <si>
    <t>PÓTICO DE ACESSO</t>
  </si>
  <si>
    <t xml:space="preserve"> 4.1.1 </t>
  </si>
  <si>
    <t xml:space="preserve"> 93358 </t>
  </si>
  <si>
    <t>ESCAVAÇÃO MANUAL DE VALA COM PROFUNDIDADE MENOR OU IGUAL A 1,30 M. AF_02/2021</t>
  </si>
  <si>
    <t>SAPATAS ISOLADAS</t>
  </si>
  <si>
    <t>VIGAS BALDRAME</t>
  </si>
  <si>
    <t xml:space="preserve"> 4.1.2 </t>
  </si>
  <si>
    <t xml:space="preserve"> 4.1.3 </t>
  </si>
  <si>
    <t xml:space="preserve"> 96535 </t>
  </si>
  <si>
    <t>FABRICAÇÃO, MONTAGEM E DESMONTAGEM DE FÔRMA PARA SAPATA, EM MADEIRA SERRADA, E=25 MM, 4 UTILIZAÇÕES. AF_01/2024</t>
  </si>
  <si>
    <t xml:space="preserve"> 4.1.4 </t>
  </si>
  <si>
    <t xml:space="preserve"> 4.1.5 </t>
  </si>
  <si>
    <t xml:space="preserve"> 4.1.6 </t>
  </si>
  <si>
    <t xml:space="preserve"> 4.1.7 </t>
  </si>
  <si>
    <t xml:space="preserve"> 4.1.8 </t>
  </si>
  <si>
    <t>VIGAS BALDRAME (QUANTITATIVO EXTRAÍDO DO PROJETO ESTRUTURAL)</t>
  </si>
  <si>
    <t>PILARETES (QUANTITATIVO EXTRAÍDO DO PROJETO ESTRUTURAL)</t>
  </si>
  <si>
    <t>SAPATAS ISOLADAS (QUANTITATIVO EXTRAÍDO DO PROJETO ESTRUTURAL)</t>
  </si>
  <si>
    <t xml:space="preserve"> 4.1.9 </t>
  </si>
  <si>
    <t xml:space="preserve"> 4.2 </t>
  </si>
  <si>
    <t>EDIFICAÇÃO (SALAS DE AULAS, PÁTIOS ETC.)</t>
  </si>
  <si>
    <t xml:space="preserve"> 4.2.1 </t>
  </si>
  <si>
    <t>SAPATAS ISOLADAS, MURO DE CONTÊNÇÃO E VIGAS BALDRAME DE ACORCO COM O PROJETO ESTRUTURAL</t>
  </si>
  <si>
    <t xml:space="preserve"> 4.2.2 </t>
  </si>
  <si>
    <t xml:space="preserve"> 4.2.3 </t>
  </si>
  <si>
    <t>SAPATAS ISOLADAS DE ACORCO COM O PROJETO ESTRUTURAL</t>
  </si>
  <si>
    <t xml:space="preserve"> 4.2.4 </t>
  </si>
  <si>
    <t>PILARETES DE ACORCO COM O PROJETO ESTRUTURAL</t>
  </si>
  <si>
    <t xml:space="preserve"> 4.2.5 </t>
  </si>
  <si>
    <t>VIGAS BALDRAME DE ACORCO COM O PROJETO ESTRUTURAL</t>
  </si>
  <si>
    <t xml:space="preserve"> 4.2.6 </t>
  </si>
  <si>
    <t xml:space="preserve"> 4.2.7 </t>
  </si>
  <si>
    <t xml:space="preserve"> 4.2.8 </t>
  </si>
  <si>
    <t xml:space="preserve"> 4.2.9 </t>
  </si>
  <si>
    <t xml:space="preserve"> 4.2.10 </t>
  </si>
  <si>
    <t xml:space="preserve"> 4.2.11 </t>
  </si>
  <si>
    <t xml:space="preserve"> 4.2.12 </t>
  </si>
  <si>
    <t xml:space="preserve"> 4.2.13 </t>
  </si>
  <si>
    <t xml:space="preserve"> 93382 </t>
  </si>
  <si>
    <t>REATERRO MANUAL DE VALAS, COM COMPACTADOR DE SOLOS DE PERCUSSÃO. AF_08/2023</t>
  </si>
  <si>
    <t>SAPATAS ISOLADAS, MURO DE CONTÊNÇÃO E VIGAS BALDRAME (Volume escavado - magro - vol. concreto)</t>
  </si>
  <si>
    <t xml:space="preserve"> 4.3 </t>
  </si>
  <si>
    <t>LAJER TIPO RADIER (EDIFICAÇÃO)</t>
  </si>
  <si>
    <t xml:space="preserve"> 4.3.1 </t>
  </si>
  <si>
    <t xml:space="preserve"> 100322 </t>
  </si>
  <si>
    <t>LASTRO COM MATERIAL GRANULAR (PEDRA BRITADA N.3), APLICADO EM PISOS OU LAJES SOBRE SOLO, ESPESSURA DE *10 CM*. AF_01/2024</t>
  </si>
  <si>
    <t xml:space="preserve"> 4.3.2 </t>
  </si>
  <si>
    <t xml:space="preserve"> 97086 </t>
  </si>
  <si>
    <t>FABRICAÇÃO, MONTAGEM E DESMONTAGEM DE FORMA PARA RADIER, PISO DE CONCRETO OU LAJE SOBRE SOLO, EM MADEIRA SERRADA, 4 UTILIZAÇÕES. AF_09/2021</t>
  </si>
  <si>
    <t>QUANTITATIVO EXTRAÍDO DO PROJETO ESTRUTURAL (PERÍMETRO DAS ÁREAS DE LAJE TIPO RADIER)</t>
  </si>
  <si>
    <t xml:space="preserve"> 4.3.3 </t>
  </si>
  <si>
    <t xml:space="preserve"> 97087 </t>
  </si>
  <si>
    <t>CAMADA SEPARADORA PARA EXECUÇÃO DE RADIER, PISO DE CONCRETO OU LAJE SOBRE SOLO, EM LONA PLÁSTICA. AF_09/2021</t>
  </si>
  <si>
    <t xml:space="preserve"> 4.3.4 </t>
  </si>
  <si>
    <t xml:space="preserve"> 97092 </t>
  </si>
  <si>
    <t>ARMAÇÃO PARA EXECUÇÃO DE RADIER, PISO DE CONCRETO OU LAJE SOBRE SOLO, COM USO DE TELA Q-196. AF_09/2021</t>
  </si>
  <si>
    <t xml:space="preserve"> 4.3.5 </t>
  </si>
  <si>
    <t>VIGAS DE BORDA DAS LAJES TIPO RADIER (QUANTITATIVO EXTRAÍDO DO PROJETO ESTRUTURAL)</t>
  </si>
  <si>
    <t xml:space="preserve"> 4.3.6 </t>
  </si>
  <si>
    <t xml:space="preserve"> 4.3.7 </t>
  </si>
  <si>
    <t xml:space="preserve"> 97094 </t>
  </si>
  <si>
    <t>CONCRETAGEM DE RADIER, PISO OU LAJE SOBRE SOLO, FCK 30 MPA, PARA ESPESSURA DE 10 CM - LANÇAMENTO, ADENSAMENTO E ACABAMENTO. AF_09/2017</t>
  </si>
  <si>
    <t>VOLUME DAS LAJES TIPO RADIER (QUANTITATIVO EXTRAÍDO DO PROJETO ESTRUTURAL)</t>
  </si>
  <si>
    <t xml:space="preserve"> 4.4 </t>
  </si>
  <si>
    <t>QUADRA E REFEITÓRIO</t>
  </si>
  <si>
    <t xml:space="preserve"> 4.4.1 </t>
  </si>
  <si>
    <t xml:space="preserve"> 4.4.2 </t>
  </si>
  <si>
    <t xml:space="preserve"> 4.4.3 </t>
  </si>
  <si>
    <t xml:space="preserve"> 4.4.4 </t>
  </si>
  <si>
    <t xml:space="preserve"> 4.4.5 </t>
  </si>
  <si>
    <t xml:space="preserve"> 4.4.6 </t>
  </si>
  <si>
    <t xml:space="preserve"> 4.4.7 </t>
  </si>
  <si>
    <t xml:space="preserve"> 4.4.8 </t>
  </si>
  <si>
    <t xml:space="preserve"> 4.4.9 </t>
  </si>
  <si>
    <t xml:space="preserve"> 4.4.10 </t>
  </si>
  <si>
    <t>SAPATAS ISOLADAS E VIGAS BALDRAME (Volume escavado - magro - vol. concreto)</t>
  </si>
  <si>
    <t xml:space="preserve"> 4.5 </t>
  </si>
  <si>
    <t xml:space="preserve"> 4.5.1 </t>
  </si>
  <si>
    <t xml:space="preserve"> 4.5.2 </t>
  </si>
  <si>
    <t xml:space="preserve"> 4.5.3 </t>
  </si>
  <si>
    <t xml:space="preserve"> 94962 </t>
  </si>
  <si>
    <t>CONCRETO MAGRO PARA LASTRO, TRAÇO 1:4,5:4,5 (EM MASSA SECA DE CIMENTO/ AREIA MÉDIA/ BRITA 1) - PREPARO MECÂNICO COM BETONEIRA 400 L. AF_05/2021</t>
  </si>
  <si>
    <t xml:space="preserve"> 4.5.4 </t>
  </si>
  <si>
    <t xml:space="preserve"> 4.5.5 </t>
  </si>
  <si>
    <t xml:space="preserve"> 92759 </t>
  </si>
  <si>
    <t>ARMAÇÃO DE PILAR OU VIGA DE ESTRUTURA CONVENCIONAL DE CONCRETO ARMADO UTILIZANDO AÇO CA-60 DE 5,0 MM - MONTAGEM. AF_06/2022</t>
  </si>
  <si>
    <t xml:space="preserve"> 4.5.6 </t>
  </si>
  <si>
    <t xml:space="preserve"> 92760 </t>
  </si>
  <si>
    <t>ARMAÇÃO DE PILAR OU VIGA DE ESTRUTURA CONVENCIONAL DE CONCRETO ARMADO UTILIZANDO AÇO CA-50 DE 6,3 MM - MONTAGEM. AF_06/2022</t>
  </si>
  <si>
    <t xml:space="preserve"> 4.5.7 </t>
  </si>
  <si>
    <t xml:space="preserve"> 92761 </t>
  </si>
  <si>
    <t>ARMAÇÃO DE PILAR OU VIGA DE ESTRUTURA CONVENCIONAL DE CONCRETO ARMADO UTILIZANDO AÇO CA-50 DE 8,0 MM - MONTAGEM. AF_06/2022</t>
  </si>
  <si>
    <t xml:space="preserve"> 4.5.8 </t>
  </si>
  <si>
    <t xml:space="preserve"> 92762 </t>
  </si>
  <si>
    <t>ARMAÇÃO DE PILAR OU VIGA DE ESTRUTURA CONVENCIONAL DE CONCRETO ARMADO UTILIZANDO AÇO CA-50 DE 10,0 MM - MONTAGEM. AF_06/2022</t>
  </si>
  <si>
    <t xml:space="preserve"> 4.5.9 </t>
  </si>
  <si>
    <t xml:space="preserve"> 92763 </t>
  </si>
  <si>
    <t>ARMAÇÃO DE PILAR OU VIGA DE ESTRUTURA CONVENCIONAL DE CONCRETO ARMADO UTILIZANDO AÇO CA-50 DE 12,5 MM - MONTAGEM. AF_06/2022</t>
  </si>
  <si>
    <t xml:space="preserve"> 4.5.10 </t>
  </si>
  <si>
    <t xml:space="preserve"> 4.5.11 </t>
  </si>
  <si>
    <t xml:space="preserve"> 4.5.12 </t>
  </si>
  <si>
    <t xml:space="preserve"> 4.5.13 </t>
  </si>
  <si>
    <t xml:space="preserve"> 4.6 </t>
  </si>
  <si>
    <t xml:space="preserve"> 4.6.1 </t>
  </si>
  <si>
    <t xml:space="preserve"> 4.6.2 </t>
  </si>
  <si>
    <t xml:space="preserve"> 101211 </t>
  </si>
  <si>
    <t>ESCAVAÇÃO VERTICAL PARA  EDIFICAÇÃO, COM CARGA, DESCARGA E TRANSPORTE DE SOLO DE 1ª CATEGORIA, COM ESCAVADEIRA HIDRÁULICA (CAÇAMBA: 0,8 M³ / 111 HP), FROTA DE 4 CAMINHÕES BASCULANTES DE 14 M³, DMT DE 2 KM E VELOCIDADE MÉDIA 19 KM/H. AF_05/2020</t>
  </si>
  <si>
    <t xml:space="preserve"> 4.6.3 </t>
  </si>
  <si>
    <t xml:space="preserve"> 4.6.4 </t>
  </si>
  <si>
    <t xml:space="preserve"> 4.6.5 </t>
  </si>
  <si>
    <t xml:space="preserve"> 4.6.6 </t>
  </si>
  <si>
    <t xml:space="preserve"> 4.6.7 </t>
  </si>
  <si>
    <t xml:space="preserve"> 4.6.8 </t>
  </si>
  <si>
    <t xml:space="preserve"> 4.7 </t>
  </si>
  <si>
    <t>RESERVATÓRIO DE REAPROVEITAMENTO</t>
  </si>
  <si>
    <t xml:space="preserve"> 4.7.1 </t>
  </si>
  <si>
    <t>PERIMETRO DO RESERVATÓRIO ACRÉSCIDO DE 4,00 METROS (1,00 METRO DE FOLGA PARA CADA DIREÇÃO)</t>
  </si>
  <si>
    <t xml:space="preserve"> 4.7.2 </t>
  </si>
  <si>
    <t>REATERRO DA SUB-BASE DO RESERVATÓRIO H=0,10</t>
  </si>
  <si>
    <t xml:space="preserve"> 4.7.3 </t>
  </si>
  <si>
    <t>CONCRETO MAGRO PARA IMPLANTAÇÃO DO RESERVATÓRIO, H=0,05 M</t>
  </si>
  <si>
    <t xml:space="preserve"> 4.7.4 </t>
  </si>
  <si>
    <t>CAMADA SEPARADORA INSERIDO SOBRE O CONCRETO MAGRO, ÁREA=42,00 (8,2 X 5,00)</t>
  </si>
  <si>
    <t xml:space="preserve"> 4.7.5 </t>
  </si>
  <si>
    <t>LASTRO INSERIDO ACIMA DO CONCRETO MAGRO, SOBRE A ÁREA DA LAJE (8,2 X 5,00)</t>
  </si>
  <si>
    <t xml:space="preserve"> 4.7.6 </t>
  </si>
  <si>
    <t>ARMAÇÃO DO RADIER  TELA-196, ÁREA DE 41,00 M² (5,00 X 8,20), TAXA DO AÇO =  COM 3,11 KG/M².</t>
  </si>
  <si>
    <t xml:space="preserve"> 4.7.7 </t>
  </si>
  <si>
    <t xml:space="preserve"> 97096 </t>
  </si>
  <si>
    <t>CONCRETAGEM DE RADIER, PISO DE CONCRETO OU LAJE SOBRE SOLO, FCK 30 MPA - LANÇAMENTO, ADENSAMENTO E ACABAMENTO. AF_09/2021</t>
  </si>
  <si>
    <t>CONCRETAGEM DA LAJE, H=12 CM X ÁREA 42,00 M²</t>
  </si>
  <si>
    <t xml:space="preserve"> 4.7.8 </t>
  </si>
  <si>
    <t xml:space="preserve"> 98555 </t>
  </si>
  <si>
    <t>IMPERMEABILIZAÇÃO DE SUPERFÍCIE COM ARGAMASSA POLIMÉRICA / MEMBRANA ACRÍLICA, 3 DEMÃOS. AF_09/2023</t>
  </si>
  <si>
    <t>IMPERMEABILIZAÇÃO DA LAJE INFERIOR</t>
  </si>
  <si>
    <t xml:space="preserve"> 4.8 </t>
  </si>
  <si>
    <t xml:space="preserve"> 4.8.1 </t>
  </si>
  <si>
    <t>QUANTITATIVO EXTRAÍDO DO PROJETO QUE FOI REALIZADO A METODOLOGIA BIM + 1 METRO PARA CADA DIREÇÃO</t>
  </si>
  <si>
    <t xml:space="preserve"> 4.8.2 </t>
  </si>
  <si>
    <t xml:space="preserve"> 4.8.3 </t>
  </si>
  <si>
    <t xml:space="preserve"> 4.8.4 </t>
  </si>
  <si>
    <t xml:space="preserve"> 4.8.5 </t>
  </si>
  <si>
    <t xml:space="preserve"> 4.8.6 </t>
  </si>
  <si>
    <t xml:space="preserve"> 4.8.7 </t>
  </si>
  <si>
    <t xml:space="preserve"> 4.8.8 </t>
  </si>
  <si>
    <t xml:space="preserve"> 4.8.9 </t>
  </si>
  <si>
    <t xml:space="preserve"> 4.8.10 </t>
  </si>
  <si>
    <t xml:space="preserve"> 4.8.11 </t>
  </si>
  <si>
    <t>FOSSA SÉPTICA</t>
  </si>
  <si>
    <t xml:space="preserve"> 92271 </t>
  </si>
  <si>
    <t>FABRICAÇÃO DE FÔRMA PARA LAJES, EM MADEIRA SERRADA, E=25 MM. AF_09/2020</t>
  </si>
  <si>
    <t xml:space="preserve"> 5 </t>
  </si>
  <si>
    <t>SUPERESTRUTURA</t>
  </si>
  <si>
    <t xml:space="preserve"> 5.1 </t>
  </si>
  <si>
    <t xml:space="preserve"> 100766 </t>
  </si>
  <si>
    <t>PILAR METÁLICO PERFIL LAMINADO OU SOLDADO EM AÇO ESTRUTURAL, COM CONEXÕES SOLDADAS, INCLUSOS MÃO DE OBRA, TRANSPORTE E IÇAMENTO UTILIZANDO GUINDASTE - FORNECIMENTO E INSTALAÇÃO. AF_01/2020_PA</t>
  </si>
  <si>
    <t xml:space="preserve"> 5.2 </t>
  </si>
  <si>
    <t xml:space="preserve"> 100764 </t>
  </si>
  <si>
    <t>VIGA METÁLICA EM PERFIL LAMINADO OU SOLDADO EM AÇO ESTRUTURAL, COM CONEXÕES SOLDADAS, INCLUSOS MÃO DE OBRA, TRANSPORTE E IÇAMENTO UTILIZANDO GUINDASTE - FORNECIMENTO E INSTALAÇÃO. AF_01/2020_PA</t>
  </si>
  <si>
    <t xml:space="preserve"> 5.3 </t>
  </si>
  <si>
    <t xml:space="preserve"> 92267 </t>
  </si>
  <si>
    <t>FABRICAÇÃO DE FÔRMA PARA LAJES, EM CHAPA DE MADEIRA COMPENSADA RESINADA, E = 17 MM. AF_09/2020</t>
  </si>
  <si>
    <t xml:space="preserve"> 5.4 </t>
  </si>
  <si>
    <t xml:space="preserve"> 7631 </t>
  </si>
  <si>
    <t>Escoramento metálico para lajes e vigas, c/ escoras tubulares tipo "b" (h=3,30 a 4,50 m), com montagem e desmontagem</t>
  </si>
  <si>
    <t xml:space="preserve"> 5.5 </t>
  </si>
  <si>
    <t xml:space="preserve"> 5.6 </t>
  </si>
  <si>
    <t xml:space="preserve"> 5.7 </t>
  </si>
  <si>
    <t xml:space="preserve"> 5.8 </t>
  </si>
  <si>
    <t xml:space="preserve"> 92772 </t>
  </si>
  <si>
    <t>ARMAÇÃO DE LAJE DE ESTRUTURA CONVENCIONAL DE CONCRETO ARMADO UTILIZANDO AÇO CA-50 DE 12,5 MM - MONTAGEM. AF_06/2022</t>
  </si>
  <si>
    <t xml:space="preserve"> 5.9 </t>
  </si>
  <si>
    <t xml:space="preserve"> 103675 </t>
  </si>
  <si>
    <t>CONCRETAGEM DE VIGAS E LAJES, FCK=25 MPA, PARA LAJES MACIÇAS OU NERVURADAS COM USO DE BOMBA - LANÇAMENTO, ADENSAMENTO E ACABAMENTO. AF_02/2022_PS</t>
  </si>
  <si>
    <t xml:space="preserve"> 5.10 </t>
  </si>
  <si>
    <t xml:space="preserve"> 5.11 </t>
  </si>
  <si>
    <t xml:space="preserve"> 100739 </t>
  </si>
  <si>
    <t>PINTURA COM TINTA ALQUÍDICA DE ACABAMENTO (ESMALTE SINTÉTICO ACETINADO) PULVERIZADA SOBRE PERFIL METÁLICO EXECUTADO EM FÁBRICA (POR DEMÃO). AF_01/2020_PE</t>
  </si>
  <si>
    <t xml:space="preserve"> 6 </t>
  </si>
  <si>
    <t>SISTEMA DE VEDAÇÃO VERTICAL</t>
  </si>
  <si>
    <t xml:space="preserve"> 6.1 </t>
  </si>
  <si>
    <t>QUANTITATIVO EXTRAÍDO DO PROJETO DE MÓDULAÇÃO DOS PERFIS DE PVC (VER MEMÓRIA DE CÁLCULO ANEXA)</t>
  </si>
  <si>
    <t xml:space="preserve"> 6.2 </t>
  </si>
  <si>
    <t>QUANTITATIVO EXTRAÍDO DO PROJETO DE MÓDULAÇÃO DOS PERFIS DE PVC</t>
  </si>
  <si>
    <t xml:space="preserve"> 6.3 </t>
  </si>
  <si>
    <t xml:space="preserve"> 6.4 </t>
  </si>
  <si>
    <t xml:space="preserve"> 7 </t>
  </si>
  <si>
    <t>ESQUADRIAS</t>
  </si>
  <si>
    <t xml:space="preserve"> 7.1 </t>
  </si>
  <si>
    <t>PORTAS DE MADEIRA</t>
  </si>
  <si>
    <t xml:space="preserve"> 7.1.1 </t>
  </si>
  <si>
    <t xml:space="preserve"> COMP.-5 (PORTAS DE MADEIRA) </t>
  </si>
  <si>
    <t>PORTA DE GIRO DE MADEIRA 0,90x2,10M, (NÚCLEO SEMI-SÓLIDO), ESPESSURA DE 3,5CM, ACABAMENTO MELAMINICO BRANCO, COM VISOR EM VIDRO DE 6MM (45X80CM), ALIZAR, DOBRADIÇAS, MONTAGEM E INSTALAÇÃO DO BATENTE EM MADEIRA DE LEI (IPÊ OU SIMILAR), FECHADURA COM EXECUÇÃO DO FURO - FORNECIMENTO E INSTALAÇÃO DE ACORDO COM O PROJETO DE ARQUITETURA.</t>
  </si>
  <si>
    <t>QUANTITATIVO DE ACORDO COM O PROJETO DE ARQUITETURA (MAPA DE ESQUADRIAS)</t>
  </si>
  <si>
    <t xml:space="preserve"> 7.1.2 </t>
  </si>
  <si>
    <t xml:space="preserve"> COMP.-6 (PORTAS DE MADEIRA) </t>
  </si>
  <si>
    <t>PORTA DE GIRO DE MADEIRA 0,90x2,10M, (NÚCLEO SEMI-SÓLIDO), ESPESSURA DE 3,5CM, ACABAMENTO MELAMINICO BRANCO, ALIZAR, DOBRADIÇAS, MONTAGEM E INSTALAÇÃO DO BATENTE EM MADEIRA DE LEI (IPÊ OU SIMILAR), FECHADURA COM EXECUÇÃO DO FURO, COM BARRA DE APOIO E PROTEÇÃO COM CHAPA METÁLICA NA PARTE INFERIOR (40CM) - FORNECIMENTO E INSTALAÇÃO DE ACORDO COM O PROJETO DE ARQUITETURA.</t>
  </si>
  <si>
    <t xml:space="preserve"> 7.1.3 </t>
  </si>
  <si>
    <t xml:space="preserve"> COMP.-7 (PORTAS DE MADEIRA) </t>
  </si>
  <si>
    <t>PORTA DE CORRER DE MADEIRA 0,90x2,10M, (NÚCLEO SEMI-SÓLIDO), ESPESSURA DE 3,5CM, ACABAMENTO MELAMINICO BRANCO, COM VISOR EM VIDRO DE 6MM (45X80CM), ALIZAR, DOBRADIÇAS, MONTAGEM E INSTALAÇÃO DO BATENTE EM MADEIRA DE LEI (IPÊ OU SIMILAR), FECHADURA COM EXECUÇÃO DO FURO - FORNECIMENTO E INSTALAÇÃO DE ACORDO COM O PROJETO DE ARQUITETURA.</t>
  </si>
  <si>
    <t xml:space="preserve"> 7.1.4 </t>
  </si>
  <si>
    <t xml:space="preserve"> COMP.-8 (PORTAS DE MADEIRA) </t>
  </si>
  <si>
    <t>PORTA DE CORRER DE MADEIRA 0,90x2,10M, (NÚCLEO SEMI-SÓLIDO), ESPESSURA DE 3,5CM, ACABAMENTO MELAMINICO BRANCO, ALIZAR, DOBRADIÇAS, MONTAGEM E INSTALAÇÃO DO BATENTE EM MADEIRA DE LEI (IPÊ OU SIMILAR), FECHADURA COM EXECUÇÃO DO FURO E BARRA DE APOIO - FORNECIMENTO E INSTALAÇÃO DE ACORDO COM O PROJETO DE ARQUITETURA.</t>
  </si>
  <si>
    <t xml:space="preserve"> 7.2 </t>
  </si>
  <si>
    <t>PORTAS DE ALUMÍNIO</t>
  </si>
  <si>
    <t xml:space="preserve"> 7.2.1 </t>
  </si>
  <si>
    <t xml:space="preserve"> 91341 </t>
  </si>
  <si>
    <t>PORTA EM ALUMÍNIO DE ABRIR TIPO VENEZIANA COM GUARNIÇÃO, FIXAÇÃO COM PARAFUSOS - FORNECIMENTO E INSTALAÇÃO. AF_12/2019</t>
  </si>
  <si>
    <t>(P7)</t>
  </si>
  <si>
    <t>P(17)</t>
  </si>
  <si>
    <t>P(10)</t>
  </si>
  <si>
    <t>(P9)</t>
  </si>
  <si>
    <t>P(16)</t>
  </si>
  <si>
    <t xml:space="preserve"> 7.3 </t>
  </si>
  <si>
    <t>JANELAS DE ALUMÍNIO</t>
  </si>
  <si>
    <t xml:space="preserve"> 7.3.1 </t>
  </si>
  <si>
    <t xml:space="preserve"> 11945 </t>
  </si>
  <si>
    <t>Basculante em alumínio, cor N/P/B, moldura-vidro, tipo convencional ou pivotante, exclusive vidro</t>
  </si>
  <si>
    <t>(J1)</t>
  </si>
  <si>
    <t xml:space="preserve"> 7.3.2 </t>
  </si>
  <si>
    <t xml:space="preserve"> 94570 </t>
  </si>
  <si>
    <t>JANELA DE ALUMÍNIO DE CORRER COM 2 FOLHAS PARA VIDROS, COM VIDROS, BATENTE, ACABAMENTO COM ACETATO OU BRILHANTE E FERRAGENS. EXCLUSIVE ALIZAR E CONTRAMARCO. FORNECIMENTO E INSTALAÇÃO. AF_12/2019</t>
  </si>
  <si>
    <t>(J9)</t>
  </si>
  <si>
    <t>(J8)</t>
  </si>
  <si>
    <t>(J3)</t>
  </si>
  <si>
    <t>(J4)</t>
  </si>
  <si>
    <t xml:space="preserve"> 7.3.3 </t>
  </si>
  <si>
    <t xml:space="preserve"> 94573 </t>
  </si>
  <si>
    <t>JANELA DE ALUMÍNIO DE CORRER COM 4 FOLHAS PARA VIDROS, COM VIDROS, BATENTE, ACABAMENTO COM ACETATO OU BRILHANTE E FERRAGENS. EXCLUSIVE ALIZAR E CONTRAMARCO. FORNECIMENTO E INSTALAÇÃO. AF_12/2019</t>
  </si>
  <si>
    <t>(J15)</t>
  </si>
  <si>
    <t>(J2)</t>
  </si>
  <si>
    <t>(J7)</t>
  </si>
  <si>
    <t xml:space="preserve"> 7.3.4 </t>
  </si>
  <si>
    <t xml:space="preserve"> 11944 </t>
  </si>
  <si>
    <t>Janela em alumínio, cor N/P/B, moldura-vidro, tipo guilhotina, exclusive vidro</t>
  </si>
  <si>
    <t>(J5)</t>
  </si>
  <si>
    <t>(J6)</t>
  </si>
  <si>
    <t xml:space="preserve"> 7.4 </t>
  </si>
  <si>
    <t>VIDROS</t>
  </si>
  <si>
    <t xml:space="preserve"> 7.4.1 </t>
  </si>
  <si>
    <t xml:space="preserve"> 11347 </t>
  </si>
  <si>
    <t>Fornecimento e instalação de fachada em pele de vidro, em vidro laminado 3+3 refletivo</t>
  </si>
  <si>
    <t>(J10)</t>
  </si>
  <si>
    <t>(J14)</t>
  </si>
  <si>
    <t>(J11)</t>
  </si>
  <si>
    <t>(J13)</t>
  </si>
  <si>
    <t>(J12)</t>
  </si>
  <si>
    <t xml:space="preserve"> 7.4.2 </t>
  </si>
  <si>
    <t xml:space="preserve"> 102166 </t>
  </si>
  <si>
    <t>INSTALAÇÃO DE VIDRO LISO INCOLOR, E = 6 MM, EM ESQUADRIA DE ALUMÍNIO OU PVC, FIXADO COM BAGUETE. AF_01/2021_PS</t>
  </si>
  <si>
    <t>(J1) Área dos vidros.</t>
  </si>
  <si>
    <t xml:space="preserve"> 7.5 </t>
  </si>
  <si>
    <t>ESQUADRIAS EM GERAL</t>
  </si>
  <si>
    <t xml:space="preserve"> 7.5.1 </t>
  </si>
  <si>
    <t xml:space="preserve"> 112618 </t>
  </si>
  <si>
    <t>SBC</t>
  </si>
  <si>
    <t>PORTAO DE CORRER EM ALUMINIO PINTURA ELETROSTATICA BRANCA</t>
  </si>
  <si>
    <t>PORTÃO DE ACESSO PARA VEÍCULOS, CONFORME PROJETO DE ARQUITETURA</t>
  </si>
  <si>
    <t xml:space="preserve"> 7.5.2 </t>
  </si>
  <si>
    <t xml:space="preserve"> 112564 </t>
  </si>
  <si>
    <t>KIT PARA AUTOMACAO DE PORTAO DESLIZANTE (CORRER)</t>
  </si>
  <si>
    <t>UN</t>
  </si>
  <si>
    <t xml:space="preserve"> 7.5.3 </t>
  </si>
  <si>
    <t xml:space="preserve"> 12220 </t>
  </si>
  <si>
    <t>Portão/porta em alumínio cor N/B/P, de abrir, 02 fls, vazado, em tubo quadrado 3"x1.1/2" horizontais e engradado e 1.1/2"x1.1/2" verticais, com espaçamento de 12cm.</t>
  </si>
  <si>
    <t>PORTÕES DE ACORDO COM O PROJETO DE ARQUITETURA</t>
  </si>
  <si>
    <t xml:space="preserve"> 7.5.4 </t>
  </si>
  <si>
    <t xml:space="preserve"> C4556 </t>
  </si>
  <si>
    <t>PORTÃO PIVOTANTE NYLOFOR, COMPOSTO DE QUADRO, PAINÉIS E ACESSÓRIOS COM PINTURA ELETROSTÁTICA COM TINTA POLIESTER, NAS CORES VERDE OU BRANCA, COM POSTE EM AÇO REVESTIDO, COR VERDE OU BRANCA - FORNECIMENTO E MONTAGEM</t>
  </si>
  <si>
    <t>PORTÕES DE ACORDO COM O PROJETO DE ARQUITETURA (P1,P2,P18)</t>
  </si>
  <si>
    <t xml:space="preserve"> 7.5.5 </t>
  </si>
  <si>
    <t xml:space="preserve"> C4397 </t>
  </si>
  <si>
    <t>PORTÃO DE ALUMÍNIO EM TUBOS DE 20 mm (FORNECIMENTO E MONTAGEM)</t>
  </si>
  <si>
    <t>PORTÕES DE ACORDO COM O PROJETO DE ARQUITETURA (P3)</t>
  </si>
  <si>
    <t xml:space="preserve"> 8 </t>
  </si>
  <si>
    <t>SISTEMAS DE COBERTURA</t>
  </si>
  <si>
    <t xml:space="preserve"> 8.1 </t>
  </si>
  <si>
    <t xml:space="preserve"> 100775-MOD. </t>
  </si>
  <si>
    <t>ESTRUTURA TRELIÇADA DE COBERTURA,  COM LIGAÇÕES SOLDADAS, INCLUSOS PERFIS METÁLICOS, CHAPAS METÁLICAS, MÃO DE OBRA E  TRANSPORTE COM GUINDASTE - FORNECIMENTO E INSTALAÇÃO.</t>
  </si>
  <si>
    <t>COBERTURA 2 (QUANTITATIVO EXTRAÍDO DO PROJETO ESTRUTURAL)</t>
  </si>
  <si>
    <t>VESTIÁRIO (QUANTITATIVO EXTRAÍDO DO PROJETO ESTRUTURAL)</t>
  </si>
  <si>
    <t>COBERTURA 4 (QUANTITATIVO EXTRAÍDO DO PROJETO ESTRUTURAL)</t>
  </si>
  <si>
    <t>COBERTURA 3 (QUANTITATIVO EXTRAÍDO DO PROJETO ESTRUTURAL)</t>
  </si>
  <si>
    <t>COBERTURA 5 (QUANTITATIVO EXTRAÍDO DO PROJETO ESTRUTURAL)</t>
  </si>
  <si>
    <t>COBERTURA 1 (QUANTITATIVO EXTRAÍDO DO PROJETO ESTRUTURAL)</t>
  </si>
  <si>
    <t>QUADRA E REFEITÓRIO (QUANTITATIVO EXTRAÍDO DO PROJETO ESTRUTURAL)</t>
  </si>
  <si>
    <t xml:space="preserve"> 8.2 </t>
  </si>
  <si>
    <t xml:space="preserve"> 100759 </t>
  </si>
  <si>
    <t>PINTURA COM TINTA ALQUÍDICA DE ACABAMENTO (ESMALTE SINTÉTICO BRILHANTE) PULVERIZADA SOBRE SUPERFÍCIES METÁLICAS (EXCETO PERFIL) EXECUTADO EM OBRA (02 DEMÃOS). AF_01/2020_PE</t>
  </si>
  <si>
    <t>ÁREA DAS COBERTURA E PILARES DA QUADRA E REFEITÓRIO (QUANTITATIVO EXTRAÍDO DO PROJETO ESTRUTURAL)</t>
  </si>
  <si>
    <t xml:space="preserve"> 8.3 </t>
  </si>
  <si>
    <t xml:space="preserve"> 12723 </t>
  </si>
  <si>
    <t>Telhamento com telha em aço galvalume, simples, trapezoidal, pré-pintada, TP40 - 0,43mm, Kingspan- Isoeste ou similar</t>
  </si>
  <si>
    <t>ABRIGO DE RESÍDUOS (QUANTITATIVO EXTRAÍDO DO PROJETO ESTRUTURAL)</t>
  </si>
  <si>
    <t>QUADRA (QUANTITATIVO EXTRAÍDO DO PROJETO ESTRUTURAL)</t>
  </si>
  <si>
    <t>CASA DE MÁQUINA (QUANTITATIVO EXTRAÍDO DO PROJETO ESTRUTURAL)</t>
  </si>
  <si>
    <t>COBERTURA DOS QUIOSQUES (QUANTITATIVO EXTRAÍDO DO PROJETO ESTRUTURAL)</t>
  </si>
  <si>
    <t xml:space="preserve"> 8.4 </t>
  </si>
  <si>
    <t xml:space="preserve"> 94216 </t>
  </si>
  <si>
    <t>TELHAMENTO COM TELHA METÁLICA TERMOACÚSTICA E = 30 MM, COM ATÉ 2 ÁGUAS, INCLUSO IÇAMENTO. AF_07/2019</t>
  </si>
  <si>
    <t>CIRCULAÇÃO - QUADRA E PÁTIO (QUANTITATIVO EXTRAÍDO DO PROJETO ESTRUTURAL)</t>
  </si>
  <si>
    <t>REFEITÓRIO (QUANTITATIVO EXTRAÍDO DO PROJETO ESTRUTURAL)</t>
  </si>
  <si>
    <t xml:space="preserve"> 8.5 </t>
  </si>
  <si>
    <t xml:space="preserve"> 018566 </t>
  </si>
  <si>
    <t>TELHA - CUMEEIRA EM ACO PARA ISOTELHA TRAPEZOIDAL (RAL 9003) 1 METRO</t>
  </si>
  <si>
    <t xml:space="preserve"> 8.6 </t>
  </si>
  <si>
    <t xml:space="preserve"> 94449-MOD </t>
  </si>
  <si>
    <t>TELHAMENTO COM TELHAS TRANSLÚCIDA DE POLICARBONATO, PARA TELHADO COM ATÉ 2 ÁGUAS, INCLUSO IÇAMENTO.</t>
  </si>
  <si>
    <t>PÓRTICO DE ACESSO (QUANTITATIVO EXTRAÍDO DO PROJETO ESTRUTURAL)</t>
  </si>
  <si>
    <t xml:space="preserve"> 8.7 </t>
  </si>
  <si>
    <t xml:space="preserve"> 100327 </t>
  </si>
  <si>
    <t>RUFO EXTERNO/INTERNO EM CHAPA DE AÇO GALVANIZADO NÚMERO 26, CORTE DE 33 CM, INCLUSO IÇAMENTO. AF_07/2019</t>
  </si>
  <si>
    <t xml:space="preserve"> 9 </t>
  </si>
  <si>
    <t>REVESTIMENTOS INTERNO E EXTERNO</t>
  </si>
  <si>
    <t xml:space="preserve"> 9.1 </t>
  </si>
  <si>
    <t>INTERNO</t>
  </si>
  <si>
    <t xml:space="preserve"> 9.1.1 </t>
  </si>
  <si>
    <t xml:space="preserve"> 87273 </t>
  </si>
  <si>
    <t>REVESTIMENTO CERÂMICO PARA PAREDES INTERNAS COM PLACAS TIPO ESMALTADA EXTRA  DE DIMENSÕES 33X45 CM APLICADAS NA ALTURA INTEIRA DAS PAREDES. AF_02/2023_PE</t>
  </si>
  <si>
    <t>Perímetro (Lavagem de pratos sujos)</t>
  </si>
  <si>
    <t>Perímetro (WC masc. e fem. próx. a sala 11)</t>
  </si>
  <si>
    <t>Perímetro (WCs próx. a secretaria)</t>
  </si>
  <si>
    <t>Perímetro (DML próx. a WC)</t>
  </si>
  <si>
    <t>Perímetro (WC masc. e fem.)</t>
  </si>
  <si>
    <t>Perímetro (WC acess. masc. e fem, próx. a sala 16))</t>
  </si>
  <si>
    <t>Perímetro (área da cozinha)</t>
  </si>
  <si>
    <t>Perímetro (Lavanderia/DML)</t>
  </si>
  <si>
    <t>Perímetro (Despesas de alimento)</t>
  </si>
  <si>
    <t>Perímetro (BWC área da cozinha)</t>
  </si>
  <si>
    <t>Despensa de utensílios</t>
  </si>
  <si>
    <t>Perímetro (WC acess. masc. e fem.)</t>
  </si>
  <si>
    <t>Circulação (área da cozinha)</t>
  </si>
  <si>
    <t>Perímetro (Prep. sucos e distribuição)</t>
  </si>
  <si>
    <t>Descontos em M² (PORTAS E JANELAS)</t>
  </si>
  <si>
    <t>Perímetro (vestiário masculino)</t>
  </si>
  <si>
    <t>Perímetro (DML) próx. ao laboratório de  química)</t>
  </si>
  <si>
    <t>Perímetro (vestiário feminino)</t>
  </si>
  <si>
    <t>Perímetro pa. inferior (WC masc. e fem. próx. ao laboratório de química)</t>
  </si>
  <si>
    <t>Perímetro (central de gás)</t>
  </si>
  <si>
    <t>Perímetro  (casa de maquinas)</t>
  </si>
  <si>
    <t>Perímetro (DML próx. a sala de psicologia)</t>
  </si>
  <si>
    <t>Perímetro (WC masc. e fem. próx. a sala 06)</t>
  </si>
  <si>
    <t>Perímetro (DML) próx. a sala 16</t>
  </si>
  <si>
    <t>Perímetro pav. inferior (WC acess. masc. e fem, próx. ao laboratório de química))</t>
  </si>
  <si>
    <t>Perímetro (WC masc. e fem. próx. a sala 16)</t>
  </si>
  <si>
    <t xml:space="preserve"> 9.1.2 </t>
  </si>
  <si>
    <t xml:space="preserve"> C4442 </t>
  </si>
  <si>
    <t>CERÂMICA ESMALTADA C/ ARG. PRÉ-FABRICADA ATÉ 10x10cm (100cm²) - DECORATIVA - P/ PAREDE</t>
  </si>
  <si>
    <t>Perímetro (Copa - funcionários)</t>
  </si>
  <si>
    <t>Perímetro (Hall de entrada e circulação (Pav. Térreo))</t>
  </si>
  <si>
    <t>Perímetro (diretoria)</t>
  </si>
  <si>
    <t>Perímetro (TI/Arquivo)</t>
  </si>
  <si>
    <t>Perímetro (Sala dos professores)</t>
  </si>
  <si>
    <t>Perímetro (Circulação e área dos refeitórios (Pav. inferior))</t>
  </si>
  <si>
    <t>Perímetro (Sala de psicologia/serv. social</t>
  </si>
  <si>
    <t>Perímetro (Salas de aula 01 a 25)</t>
  </si>
  <si>
    <t>Perímetro (Coordenação pedagógica)</t>
  </si>
  <si>
    <t>Perímetro (DML)</t>
  </si>
  <si>
    <t>Perímetro (Biblioteca)</t>
  </si>
  <si>
    <t>Perímetro (deposito de materiais esportivos)</t>
  </si>
  <si>
    <t>Perímetro (Secretaria)</t>
  </si>
  <si>
    <t>Perímetro (Laboratórios)</t>
  </si>
  <si>
    <t>Perímetro (sala de recurso multifuncional)</t>
  </si>
  <si>
    <t>Descontos (PORTAS E JANELAS)</t>
  </si>
  <si>
    <t xml:space="preserve"> 9.1.3 </t>
  </si>
  <si>
    <t xml:space="preserve"> C1126 </t>
  </si>
  <si>
    <t>REJUNTAMENTO C/ ARG. PRÉ-FABRICADA, JUNTA ENTRE 2mm E 6mm EM CERÂMICA, ATÉ 10x10 cm (100 cm²) - DECORATIVA (PAREDE/PISO)</t>
  </si>
  <si>
    <t>Quantitativo equivalente ao item 10.1.2</t>
  </si>
  <si>
    <t xml:space="preserve"> 9.2 </t>
  </si>
  <si>
    <t>EXTERNO</t>
  </si>
  <si>
    <t xml:space="preserve"> 9.2.1 </t>
  </si>
  <si>
    <t>Perímetro (área em M² da central de gás).</t>
  </si>
  <si>
    <t>Perímetro (área em M² da casa de máquina).</t>
  </si>
  <si>
    <t>Perímetro (área em M² da central de resíduos).</t>
  </si>
  <si>
    <t>Perímetro  (área dos bancos localizados na área de convivência</t>
  </si>
  <si>
    <t>Perímetro (área em M² dos jardins localizado prox. a piscina).</t>
  </si>
  <si>
    <t xml:space="preserve"> 9.2.2 </t>
  </si>
  <si>
    <t>Perímetro (área em M² do muro externo que contorna a escola.</t>
  </si>
  <si>
    <t xml:space="preserve"> 9.2.3 </t>
  </si>
  <si>
    <t>Perímetro (paredes externas - salas/WC/Cozinha)</t>
  </si>
  <si>
    <t xml:space="preserve"> 9.2.4 </t>
  </si>
  <si>
    <t xml:space="preserve"> 9.2.5 </t>
  </si>
  <si>
    <t xml:space="preserve"> CUP-10 (E.S.M.) </t>
  </si>
  <si>
    <t>PLACA CIMENTÍCIA E=10MM, PARA FECHAMENTO DA FACHADA (1 LADO/FACE), JUNTAS APARENTES, FIXADA EM ESTRUTURA METÁLICA, (FORNECIMENTO E ASSENTAMENTO).</t>
  </si>
  <si>
    <t>Aréa em M² (área externa da escola; área de circulação interna; (ex. Adm, WC, Salas, serviço.) )</t>
  </si>
  <si>
    <t xml:space="preserve"> 9.3 </t>
  </si>
  <si>
    <t>FORROS</t>
  </si>
  <si>
    <t xml:space="preserve"> 9.3.1 </t>
  </si>
  <si>
    <t xml:space="preserve"> 96116 </t>
  </si>
  <si>
    <t>FORRO EM RÉGUAS DE PVC, FRISADO, PARA AMBIENTES COMERCIAIS, INCLUSIVE ESTRUTURA BIDIRECIONAL DE FIXAÇÃO. AF_08/2023_PS</t>
  </si>
  <si>
    <t>QUANTITATIVO EXTRAÍDO DO PROJETO DE ARQUITETURA (PLANTA DE FORROS), DESENVOLVIDO NA MEDOTOLOGIA BIM</t>
  </si>
  <si>
    <t xml:space="preserve"> 9.3.2 </t>
  </si>
  <si>
    <t xml:space="preserve"> C4790 </t>
  </si>
  <si>
    <t>FORRO BOREAL MODULADO ESTRUTURADO (25X625X1250MM), COM PERFIL T LEVE EM AÇO BRANCO E TRATAMENTO TERMO-ACÚSTICO EM LÃ DE VIDRO, FECHAMENTO EM PELÍCULA DE PVC PERFURADO OU EQUIVALENTE - FORNECIMENTO E INSTALAÇÃO</t>
  </si>
  <si>
    <t xml:space="preserve"> 10 </t>
  </si>
  <si>
    <t>SISTEMAS DE PISOS</t>
  </si>
  <si>
    <t xml:space="preserve"> 10.1 </t>
  </si>
  <si>
    <t>PISOS INTERNO</t>
  </si>
  <si>
    <t xml:space="preserve"> 10.1.1 </t>
  </si>
  <si>
    <t xml:space="preserve"> 87622 </t>
  </si>
  <si>
    <t>CONTRAPISO EM ARGAMASSA TRAÇO 1:4 (CIMENTO E AREIA), PREPARO MANUAL, APLICADO EM ÁREAS SECAS SOBRE LAJE, ADERIDO, ACABAMENTO NÃO REFORÇADO, ESPESSURA 2CM. AF_07/2021</t>
  </si>
  <si>
    <t>Área (TI/arquivo)</t>
  </si>
  <si>
    <t>Área (WC mas. e fem.próx. a sala 16)</t>
  </si>
  <si>
    <t>Área (WC mas. e fem.próx. a sala 06)</t>
  </si>
  <si>
    <t>Área (pátio 02)</t>
  </si>
  <si>
    <t>Área (DML próx. a sala 16</t>
  </si>
  <si>
    <t>Área (casa de máquinas)</t>
  </si>
  <si>
    <t>Área (Refeitório)</t>
  </si>
  <si>
    <t>Área (Rampas, degraus)</t>
  </si>
  <si>
    <t>Área (WC PCD próx. a sala 11)</t>
  </si>
  <si>
    <t>Área (hall de entrada e circulação - Pav. Térreo)</t>
  </si>
  <si>
    <t>Área (Circulação geral pav. inferior)</t>
  </si>
  <si>
    <t>Área (vestiários, WC, depósito, etc., )</t>
  </si>
  <si>
    <t>Área (sala de aula 01 a 25)</t>
  </si>
  <si>
    <t>Área (WC PCD próx. a sala 16)</t>
  </si>
  <si>
    <t>Área (cozinha, serviços, wc, copa, etc.)</t>
  </si>
  <si>
    <t>Área (DML próx. o laboratório de química)</t>
  </si>
  <si>
    <t>Área (DML próx. a sala 06</t>
  </si>
  <si>
    <t>Área (central de resíduos)</t>
  </si>
  <si>
    <t>Área (WC PCD próx. o laboratório de química)</t>
  </si>
  <si>
    <t>Área (sala de psicologia)</t>
  </si>
  <si>
    <t>Área (central de gás)</t>
  </si>
  <si>
    <t>Área (sala de recurso multifuncional)</t>
  </si>
  <si>
    <t>Área (WC PCD próx. a sala 06)</t>
  </si>
  <si>
    <t>Área (Biblioteca)</t>
  </si>
  <si>
    <t>Área (diretoria)</t>
  </si>
  <si>
    <t>Área (WC masc. e fem. próx. o laboratório de química)</t>
  </si>
  <si>
    <t>Área (secretaria)</t>
  </si>
  <si>
    <t>Área (WCs próx. a secretaria</t>
  </si>
  <si>
    <t>Área (DML)</t>
  </si>
  <si>
    <t>Área (área de convivência 1)</t>
  </si>
  <si>
    <t>Área (Laboratórios)</t>
  </si>
  <si>
    <t>Área (Coordenação pedagógica)</t>
  </si>
  <si>
    <t>Área (sala dos professores)</t>
  </si>
  <si>
    <t xml:space="preserve"> 10.1.2 </t>
  </si>
  <si>
    <t xml:space="preserve"> 13043 </t>
  </si>
  <si>
    <t>Revestimento cerâmico para piso ou parede, 54 x 54 cm, Arielle, linha gretna,cor branca ou bege, ou similar, PEI-5, aplicado com argamassa industrializadaac-ii, rejuntado, exclusive regularização de base ou emboço</t>
  </si>
  <si>
    <t>Quantitativo extraído do projeto que foi realizado utilizando a metodologia BIM.</t>
  </si>
  <si>
    <t xml:space="preserve"> 10.1.3 </t>
  </si>
  <si>
    <t xml:space="preserve"> 98695 </t>
  </si>
  <si>
    <t>SOLEIRA EM MÁRMORE, LARGURA 15 CM, ESPESSURA 2,0 CM. AF_09/2020</t>
  </si>
  <si>
    <t>(P4)</t>
  </si>
  <si>
    <t>(P6)</t>
  </si>
  <si>
    <t>(P5)</t>
  </si>
  <si>
    <t>(P13)</t>
  </si>
  <si>
    <t>(P8)</t>
  </si>
  <si>
    <t>(P10)</t>
  </si>
  <si>
    <t xml:space="preserve"> 10.1.4 </t>
  </si>
  <si>
    <t xml:space="preserve"> 94964 </t>
  </si>
  <si>
    <t>CONCRETO FCK = 20MPA, TRAÇO 1:2,7:3 (EM MASSA SECA DE CIMENTO/ AREIA MÉDIA/ BRITA 1) - PREPARO MECÂNICO COM BETONEIRA 400 L. AF_05/2021</t>
  </si>
  <si>
    <t>Área em M³ (refeitório/pá0tio 2; quadra poliesportiva;  área de futmesa; área de ping pong; circulação)</t>
  </si>
  <si>
    <t xml:space="preserve"> 10.1.5 </t>
  </si>
  <si>
    <t xml:space="preserve"> 97097 </t>
  </si>
  <si>
    <t>ACABAMENTO POLIDO PARA PISO DE CONCRETO ARMADO OU LAJE SOBRE SOLO DE ALTA RESISTÊNCIA. AF_09/2021</t>
  </si>
  <si>
    <t>Área em M² (refeitório/pá0tio 2; quadra poliesportiva;  área de futmesa; área de ping pong; circulação)</t>
  </si>
  <si>
    <t xml:space="preserve"> 10.1.6 </t>
  </si>
  <si>
    <t>QUANTITATIVO EXTRAÍDO DO PROJETO DE ARQUITETURA (PAGINAÇÃO DE PISOS), DESENVOLVIDO NA MEDOTOLOGIA BIM</t>
  </si>
  <si>
    <t xml:space="preserve"> 10.1.7 </t>
  </si>
  <si>
    <t xml:space="preserve"> 10.2 </t>
  </si>
  <si>
    <t>PISOS EXTERNO</t>
  </si>
  <si>
    <t xml:space="preserve"> 10.2.1 </t>
  </si>
  <si>
    <t xml:space="preserve"> 94275 </t>
  </si>
  <si>
    <t>ASSENTAMENTO DE GUIA (MEIO-FIO) EM TRECHO RETO, CONFECCIONADA EM CONCRETO PRÉ-FABRICADO, DIMENSÕES 100X15X13X20 CM (COMPRIMENTO X BASE INFERIOR X BASE SUPERIOR X ALTURA). AF_01/2024</t>
  </si>
  <si>
    <t>Calçada em frente ao terreno, conforme projeto</t>
  </si>
  <si>
    <t xml:space="preserve"> 10.2.2 </t>
  </si>
  <si>
    <t xml:space="preserve"> 92396 </t>
  </si>
  <si>
    <t>EXECUÇÃO DE PASSEIO EM PISO INTERTRAVADO, COM BLOCO RETANGULAR COR NATURAL DE 20 X 10 CM, ESPESSURA 6 CM. AF_10/2022</t>
  </si>
  <si>
    <t>Área em M² (estacionamentos frontal;</t>
  </si>
  <si>
    <t xml:space="preserve"> 10.2.3 </t>
  </si>
  <si>
    <t xml:space="preserve"> 94990 </t>
  </si>
  <si>
    <t>EXECUÇÃO DE PASSEIO (CALÇADA) OU PISO DE CONCRETO COM CONCRETO MOLDADO IN LOCO, FEITO EM OBRA, ACABAMENTO CONVENCIONAL, NÃO ARMADO. AF_08/2022</t>
  </si>
  <si>
    <t>Área em M³ ( pista de passeio em torno da escola (frente, fundos e laterais); passeio na área dos jardins)</t>
  </si>
  <si>
    <t xml:space="preserve"> 10.2.4 </t>
  </si>
  <si>
    <t xml:space="preserve"> 103946 </t>
  </si>
  <si>
    <t>PLANTIO DE GRAMA ESMERALDA OU SÃO CARLOS OU CURITIBANA, EM PLACAS. AF_05/2022</t>
  </si>
  <si>
    <t>grama esmeralda (acesso e talude dos fundos); grama amendoin</t>
  </si>
  <si>
    <t xml:space="preserve"> 11 </t>
  </si>
  <si>
    <t>PINTURAS E ACABAMENTOS</t>
  </si>
  <si>
    <t xml:space="preserve"> 11.1 </t>
  </si>
  <si>
    <t xml:space="preserve"> 88485 </t>
  </si>
  <si>
    <t>FUNDO SELADOR ACRÍLICO, APLICAÇÃO MANUAL EM PAREDE, UMA DEMÃO. AF_04/2023</t>
  </si>
  <si>
    <t>Perímetro (área em M² do muro externo que contorna a escola (frontal)).</t>
  </si>
  <si>
    <t>(Desconto das área de cerâmica, Portas e janelas)</t>
  </si>
  <si>
    <t>Paredes internas e externas de Concreto/PVC (quantitativo de acordo com o item</t>
  </si>
  <si>
    <t>Casa de máquina;Central de resíduos; central de gás.</t>
  </si>
  <si>
    <t xml:space="preserve"> 11.2 </t>
  </si>
  <si>
    <t xml:space="preserve"> CUP-12 (E.S.M.) </t>
  </si>
  <si>
    <t xml:space="preserve">TEXTURA ACRÍLICA, APLICAÇÃO MANUAL EM PAREDE, DUAS DEMÃOS. </t>
  </si>
  <si>
    <t>Casca de jaca - Casa de máquina;Central de resíduos; central de gás.</t>
  </si>
  <si>
    <t>Casca de jaca - Paredes internas e externas de Concreto/PVC (quantitativo de acordo com o item 6.1)</t>
  </si>
  <si>
    <t>Casca de jaca - (Desconto das área de cerâmica, Portas e janelas)</t>
  </si>
  <si>
    <t xml:space="preserve"> 11.3 </t>
  </si>
  <si>
    <t xml:space="preserve"> 88489 </t>
  </si>
  <si>
    <t>PINTURA LÁTEX ACRÍLICA PREMIUM, APLICAÇÃO MANUAL EM PAREDES, DUAS DEMÃOS. AF_04/2023</t>
  </si>
  <si>
    <t>Aréa em M² - Platibanda (área externa da escola; área de circulação interna; (ex. Adm, WC, Salas, serviço.) )</t>
  </si>
  <si>
    <t>Perímetro (área em M² do muro externo que contorna a escola (laterais e fundo))..</t>
  </si>
  <si>
    <t xml:space="preserve"> 11.4 </t>
  </si>
  <si>
    <t xml:space="preserve"> 102220 </t>
  </si>
  <si>
    <t>PINTURA TINTA DE ACABAMENTO (PIGMENTADA) ESMALTE SINTÉTICO BRILHANTE EM MADEIRA, 2 DEMÃOS. AF_01/2021</t>
  </si>
  <si>
    <t xml:space="preserve"> 11.5 </t>
  </si>
  <si>
    <t xml:space="preserve"> 102491 </t>
  </si>
  <si>
    <t>PINTURA DE PISO COM TINTA ACRÍLICA, APLICAÇÃO MANUAL, 2 DEMÃOS, INCLUSO FUNDO PREPARADOR. AF_05/2021</t>
  </si>
  <si>
    <t>Área da quadra em M²</t>
  </si>
  <si>
    <t xml:space="preserve"> 12 </t>
  </si>
  <si>
    <t>INSTALAÇÃO HIDRÁULICA</t>
  </si>
  <si>
    <t xml:space="preserve"> 12.1 </t>
  </si>
  <si>
    <t>TUBULAÇÕES E CONEXÕES DE PVC RÍGIDO</t>
  </si>
  <si>
    <t xml:space="preserve"> 12.1.1 </t>
  </si>
  <si>
    <t xml:space="preserve"> 89446 </t>
  </si>
  <si>
    <t>TUBO, PVC, SOLDÁVEL, DN 25MM, INSTALADO EM PRUMADA DE ÁGUA - FORNECIMENTO E INSTALAÇÃO. AF_06/2022</t>
  </si>
  <si>
    <t>QUANTITATIVO EXTRAIDO DO PROJETO QUE FOI REALIZADO EM METODOLOGIA BIM</t>
  </si>
  <si>
    <t xml:space="preserve"> 12.1.2 </t>
  </si>
  <si>
    <t xml:space="preserve"> 89447 </t>
  </si>
  <si>
    <t>TUBO, PVC, SOLDÁVEL, DN 32MM, INSTALADO EM PRUMADA DE ÁGUA - FORNECIMENTO E INSTALAÇÃO. AF_06/2022</t>
  </si>
  <si>
    <t xml:space="preserve"> 12.1.3 </t>
  </si>
  <si>
    <t xml:space="preserve"> 89449 </t>
  </si>
  <si>
    <t>TUBO, PVC, SOLDÁVEL, DN 50MM, INSTALADO EM PRUMADA DE ÁGUA - FORNECIMENTO E INSTALAÇÃO. AF_06/2022</t>
  </si>
  <si>
    <t xml:space="preserve"> 12.1.4 </t>
  </si>
  <si>
    <t xml:space="preserve"> 89450 </t>
  </si>
  <si>
    <t>TUBO, PVC, SOLDÁVEL, DN 60MM, INSTALADO EM PRUMADA DE ÁGUA - FORNECIMENTO E INSTALAÇÃO. AF_06/2022</t>
  </si>
  <si>
    <t xml:space="preserve"> 12.1.5 </t>
  </si>
  <si>
    <t xml:space="preserve"> 89429 </t>
  </si>
  <si>
    <t>ADAPTADOR CURTO COM BOLSA E ROSCA PARA REGISTRO, PVC, SOLDÁVEL, DN 25MM X 3/4 , INSTALADO EM RAMAL DE DISTRIBUIÇÃO DE ÁGUA - FORNECIMENTO E INSTALAÇÃO. AF_06/2022</t>
  </si>
  <si>
    <t xml:space="preserve"> 12.1.6 </t>
  </si>
  <si>
    <t xml:space="preserve"> 89436 </t>
  </si>
  <si>
    <t>ADAPTADOR CURTO COM BOLSA E ROSCA PARA REGISTRO, PVC, SOLDÁVEL, DN 32MM X 1 , INSTALADO EM RAMAL DE DISTRIBUIÇÃO DE ÁGUA - FORNECIMENTO E INSTALAÇÃO. AF_06/2022</t>
  </si>
  <si>
    <t xml:space="preserve"> 12.1.7 </t>
  </si>
  <si>
    <t xml:space="preserve"> 104001 </t>
  </si>
  <si>
    <t>ADAPTADOR CURTO COM BOLSA E ROSCA PARA REGISTRO, PVC, SOLDÁVEL, DN 50MM X 1.1/2, INSTALADO EM RAMAL DE DISTRIBUIÇÃO DE ÁGUA - FORNECIMENTO E INSTALAÇÃO. AF_06/2022</t>
  </si>
  <si>
    <t xml:space="preserve"> 12.1.8 </t>
  </si>
  <si>
    <t xml:space="preserve"> 103999 </t>
  </si>
  <si>
    <t>BUCHA DE REDUÇÃO, LONGA, PVC, SOLDÁVEL, DN 50 X 25 MM, INSTALADO EM RAMAL DE DISTRIBUIÇÃO DE ÁGUA - FORNECIMENTO E INSTALAÇÃO. AF_06/2022</t>
  </si>
  <si>
    <t xml:space="preserve"> 12.1.9 </t>
  </si>
  <si>
    <t xml:space="preserve"> 104003 </t>
  </si>
  <si>
    <t>BUCHA DE REDUÇÃO , LONGA, PVC, SOLDÁVEL, DN 50 X 32 MM, INSTALADO EM RAMAL DE DISTRIBUIÇÃO DE ÁGUA - FORNECIMENTO E INSTALAÇÃO. AF_06/2022</t>
  </si>
  <si>
    <t xml:space="preserve"> 12.1.10 </t>
  </si>
  <si>
    <t xml:space="preserve"> 103971 </t>
  </si>
  <si>
    <t>BUCHA DE REDUÇÃO, LONGA, PVC, SOLDÁVEL, DN 60 X 50 MM, INSTALADO EM PRUMADA DE ÁGUA - FORNECIMENTO E INSTALAÇÃO. AF_06/2022</t>
  </si>
  <si>
    <t xml:space="preserve"> 12.1.11 </t>
  </si>
  <si>
    <t xml:space="preserve"> C0694 </t>
  </si>
  <si>
    <t>CAP PVC SOLD. MARROM D= 50mm (1 1/2")</t>
  </si>
  <si>
    <t xml:space="preserve"> 12.1.12 </t>
  </si>
  <si>
    <t xml:space="preserve"> C0977 </t>
  </si>
  <si>
    <t>CRUZETA PVC SOLD. MARROM D= 25mm (3/4")</t>
  </si>
  <si>
    <t xml:space="preserve"> 12.1.13 </t>
  </si>
  <si>
    <t xml:space="preserve"> 89489 </t>
  </si>
  <si>
    <t>CURVA 90 GRAUS, PVC, SOLDÁVEL, DN 25MM, INSTALADO EM PRUMADA DE ÁGUA - FORNECIMENTO E INSTALAÇÃO. AF_06/2022</t>
  </si>
  <si>
    <t xml:space="preserve"> 12.1.14 </t>
  </si>
  <si>
    <t xml:space="preserve"> 89494 </t>
  </si>
  <si>
    <t>CURVA 90 GRAUS, PVC, SOLDÁVEL, DN 32MM, INSTALADO EM PRUMADA DE ÁGUA - FORNECIMENTO E INSTALAÇÃO. AF_06/2022</t>
  </si>
  <si>
    <t xml:space="preserve"> 12.1.15 </t>
  </si>
  <si>
    <t xml:space="preserve"> 103986 </t>
  </si>
  <si>
    <t>CURVA 90 GRAUS, PVC, SOLDÁVEL, DN 50MM, INSTALADO EM RAMAL DE DISTRIBUIÇÃO DE ÁGUA - FORNECIMENTO E INSTALAÇÃO. AF_06/2022</t>
  </si>
  <si>
    <t xml:space="preserve"> 12.1.16 </t>
  </si>
  <si>
    <t xml:space="preserve"> 89507 </t>
  </si>
  <si>
    <t>CURVA 90 GRAUS, PVC, SOLDÁVEL, DN 60MM, INSTALADO EM PRUMADA DE ÁGUA - FORNECIMENTO E INSTALAÇÃO. AF_06/2022</t>
  </si>
  <si>
    <t xml:space="preserve"> 12.1.17 </t>
  </si>
  <si>
    <t xml:space="preserve"> 89485 </t>
  </si>
  <si>
    <t>JOELHO 45 GRAUS, PVC, SOLDÁVEL, DN 25MM, INSTALADO EM PRUMADA DE ÁGUA - FORNECIMENTO E INSTALAÇÃO. AF_06/2022</t>
  </si>
  <si>
    <t xml:space="preserve"> 12.1.18 </t>
  </si>
  <si>
    <t xml:space="preserve"> 89493 </t>
  </si>
  <si>
    <t>JOELHO 45 GRAUS, PVC, SOLDÁVEL, DN 32MM, INSTALADO EM PRUMADA DE ÁGUA - FORNECIMENTO E INSTALAÇÃO. AF_06/2022</t>
  </si>
  <si>
    <t xml:space="preserve"> 12.1.19 </t>
  </si>
  <si>
    <t xml:space="preserve"> 103985 </t>
  </si>
  <si>
    <t>JOELHO 45 GRAUS, PVC, SOLDÁVEL, DN 50MM, INSTALADO EM RAMAL DE DISTRIBUIÇÃO DE ÁGUA - FORNECIMENTO E INSTALAÇÃO. AF_06/2022</t>
  </si>
  <si>
    <t xml:space="preserve"> 12.1.20 </t>
  </si>
  <si>
    <t xml:space="preserve"> 89481 </t>
  </si>
  <si>
    <t>JOELHO 90 GRAUS, PVC, SOLDÁVEL, DN 25MM, INSTALADO EM PRUMADA DE ÁGUA - FORNECIMENTO E INSTALAÇÃO. AF_06/2022</t>
  </si>
  <si>
    <t xml:space="preserve"> 12.1.21 </t>
  </si>
  <si>
    <t xml:space="preserve"> 89492 </t>
  </si>
  <si>
    <t>JOELHO 90 GRAUS, PVC, SOLDÁVEL, DN 32MM, INSTALADO EM PRUMADA DE ÁGUA - FORNECIMENTO E INSTALAÇÃO. AF_06/2022</t>
  </si>
  <si>
    <t xml:space="preserve"> 12.1.22 </t>
  </si>
  <si>
    <t xml:space="preserve"> 103984 </t>
  </si>
  <si>
    <t>JOELHO 90 GRAUS, PVC, SOLDÁVEL, DN 50MM, INSTALADO EM RAMAL DE DISTRIBUIÇÃO DE ÁGUA - FORNECIMENTO E INSTALAÇÃO. AF_06/2022</t>
  </si>
  <si>
    <t xml:space="preserve"> 12.1.23 </t>
  </si>
  <si>
    <t xml:space="preserve"> 89366 </t>
  </si>
  <si>
    <t>JOELHO 90 GRAUS COM BUCHA DE LATÃO, PVC, SOLDÁVEL, DN 25MM, X 3/4  INSTALADO EM RAMAL OU SUB-RAMAL DE ÁGUA - FORNECIMENTO E INSTALAÇÃO. AF_06/2022</t>
  </si>
  <si>
    <t xml:space="preserve"> 12.1.24 </t>
  </si>
  <si>
    <t xml:space="preserve"> 103974 </t>
  </si>
  <si>
    <t>JOELHO DE REDUÇÃO, 90 GRAUS, PVC, SOLDÁVEL, DN 32 MM X 25 MM, INSTALADO EM PRUMADA DE ÁGUA - FORNECIMENTO E INSTALAÇÃO. AF_06/2022</t>
  </si>
  <si>
    <t xml:space="preserve"> 12.1.25 </t>
  </si>
  <si>
    <t xml:space="preserve"> 89532 </t>
  </si>
  <si>
    <t>LUVA DE REDUÇÃO, PVC, SOLDÁVEL, DN 32MM X 25MM, INSTALADO EM PRUMADA DE ÁGUA - FORNECIMENTO E INSTALAÇÃO. AF_06/2022</t>
  </si>
  <si>
    <t xml:space="preserve"> 12.1.26 </t>
  </si>
  <si>
    <t xml:space="preserve"> 89427 </t>
  </si>
  <si>
    <t>LUVA COM BUCHA DE LATÃO, PVC, SOLDÁVEL, DN 25MM X 3/4 , INSTALADO EM RAMAL DE DISTRIBUIÇÃO DE ÁGUA - FORNECIMENTO E INSTALAÇÃO. AF_06/2022</t>
  </si>
  <si>
    <t xml:space="preserve"> 12.1.27 </t>
  </si>
  <si>
    <t xml:space="preserve"> 89622 </t>
  </si>
  <si>
    <t>TÊ DE REDUÇÃO, PVC, SOLDÁVEL, DN 32MM X 25MM, INSTALADO EM PRUMADA DE ÁGUA - FORNECIMENTO E INSTALAÇÃO. AF_06/2022</t>
  </si>
  <si>
    <t xml:space="preserve"> 12.1.28 </t>
  </si>
  <si>
    <t xml:space="preserve"> 89627 </t>
  </si>
  <si>
    <t>TÊ DE REDUÇÃO, PVC, SOLDÁVEL, DN 50MM X 25MM, INSTALADO EM PRUMADA DE ÁGUA - FORNECIMENTO E INSTALAÇÃO. AF_06/2022</t>
  </si>
  <si>
    <t xml:space="preserve"> 12.1.29 </t>
  </si>
  <si>
    <t xml:space="preserve"> 103976 </t>
  </si>
  <si>
    <t>TE DE REDUÇÃO, 90 GRAUS, PVC, SOLDÁVEL, DN 50 MM X 32 MM, INSTALADO EM PRUMADA DE ÁGUA - FORNECIMENTO E INSTALAÇÃO. AF_06/2022</t>
  </si>
  <si>
    <t xml:space="preserve"> 12.1.30 </t>
  </si>
  <si>
    <t xml:space="preserve"> 89440 </t>
  </si>
  <si>
    <t>TE, PVC, SOLDÁVEL, DN 25MM, INSTALADO EM RAMAL DE DISTRIBUIÇÃO DE ÁGUA - FORNECIMENTO E INSTALAÇÃO. AF_06/2022</t>
  </si>
  <si>
    <t xml:space="preserve"> 12.1.31 </t>
  </si>
  <si>
    <t xml:space="preserve"> 89443 </t>
  </si>
  <si>
    <t>TE, PVC, SOLDÁVEL, DN 32MM, INSTALADO EM RAMAL DE DISTRIBUIÇÃO DE ÁGUA - FORNECIMENTO E INSTALAÇÃO. AF_06/2022</t>
  </si>
  <si>
    <t xml:space="preserve"> 12.1.32 </t>
  </si>
  <si>
    <t xml:space="preserve"> 89625 </t>
  </si>
  <si>
    <t>TE, PVC, SOLDÁVEL, DN 50MM, INSTALADO EM PRUMADA DE ÁGUA - FORNECIMENTO E INSTALAÇÃO. AF_06/2022</t>
  </si>
  <si>
    <t xml:space="preserve"> 12.1.33 </t>
  </si>
  <si>
    <t xml:space="preserve"> 89552 </t>
  </si>
  <si>
    <t>UNIÃO, PVC, SOLDÁVEL, DN 32MM, INSTALADO EM PRUMADA DE ÁGUA - FORNECIMENTO E INSTALAÇÃO. AF_06/2022</t>
  </si>
  <si>
    <t xml:space="preserve"> 12.1.34 </t>
  </si>
  <si>
    <t xml:space="preserve"> 89594 </t>
  </si>
  <si>
    <t>UNIÃO, PVC, SOLDÁVEL, DN 50MM, INSTALADO EM PRUMADA DE ÁGUA - FORNECIMENTO E INSTALAÇÃO. AF_06/2022</t>
  </si>
  <si>
    <t xml:space="preserve"> 12.1.35 </t>
  </si>
  <si>
    <t xml:space="preserve"> 89609 </t>
  </si>
  <si>
    <t>UNIÃO, PVC, SOLDÁVEL, DN 60MM, INSTALADO EM PRUMADA DE ÁGUA - FORNECIMENTO E INSTALAÇÃO. AF_06/2022</t>
  </si>
  <si>
    <t xml:space="preserve"> 12.2 </t>
  </si>
  <si>
    <t>VÁLVULAS E REGISTROS</t>
  </si>
  <si>
    <t xml:space="preserve"> 12.2.1 </t>
  </si>
  <si>
    <t xml:space="preserve"> 103037 </t>
  </si>
  <si>
    <t>REGISTRO DE ESFERA, PVC, ROSCÁVEL, COM VOLANTE, 1" - FORNECIMENTO E INSTALAÇÃO. AF_08/2021</t>
  </si>
  <si>
    <t xml:space="preserve"> 12.2.2 </t>
  </si>
  <si>
    <t xml:space="preserve"> 103042 </t>
  </si>
  <si>
    <t>REGISTRO DE ESFERA, PVC, ROSCÁVEL, COM BORBOLETA, 3/4" - FORNECIMENTO E INSTALAÇÃO. AF_08/2021</t>
  </si>
  <si>
    <t xml:space="preserve"> 12.2.3 </t>
  </si>
  <si>
    <t xml:space="preserve"> 103039 </t>
  </si>
  <si>
    <t>REGISTRO DE ESFERA, PVC, ROSCÁVEL, COM VOLANTE, 1 1/2" - FORNECIMENTO E INSTALAÇÃO. AF_08/2021</t>
  </si>
  <si>
    <t xml:space="preserve"> 12.2.4 </t>
  </si>
  <si>
    <t xml:space="preserve"> 89985 </t>
  </si>
  <si>
    <t>REGISTRO DE PRESSÃO BRUTO, LATÃO, ROSCÁVEL, 3/4", COM ACABAMENTO E CANOPLA CROMADOS - FORNECIMENTO E INSTALAÇÃO. AF_08/2021</t>
  </si>
  <si>
    <t xml:space="preserve"> 12.2.5 </t>
  </si>
  <si>
    <t xml:space="preserve"> 103014 </t>
  </si>
  <si>
    <t>VÁLVULA DE RETENÇÃO, DE BRONZE, PÉ COM CRIVOS, ROSCÁVEL, 2" - FORNECIMENTO E INSTALAÇÃO. AF_08/2021</t>
  </si>
  <si>
    <t xml:space="preserve"> 12.2.6 </t>
  </si>
  <si>
    <t xml:space="preserve"> 010933 </t>
  </si>
  <si>
    <t>VALVULA DE RETENCAO ROSCA PVC 1.1/2"</t>
  </si>
  <si>
    <t xml:space="preserve"> 12.2.7 </t>
  </si>
  <si>
    <t xml:space="preserve"> 014876 </t>
  </si>
  <si>
    <t>VALVULA/REGISTRO DE ESFERA PVC VS ROSCAVEL 1.1/2"</t>
  </si>
  <si>
    <t xml:space="preserve"> 12.3 </t>
  </si>
  <si>
    <t>BOMBAS E PRESSURIZADORES</t>
  </si>
  <si>
    <t xml:space="preserve"> 12.3.1 </t>
  </si>
  <si>
    <t xml:space="preserve"> 102116 </t>
  </si>
  <si>
    <t>BOMBA CENTRÍFUGA, TRIFÁSICA, 1,5 CV OU 1,48 HP, HM 10 A 24 M, Q 6,1 A 21,9 M3/H - FORNECIMENTO E INSTALAÇÃO. AF_12/2020</t>
  </si>
  <si>
    <t xml:space="preserve"> 12.3.2 </t>
  </si>
  <si>
    <t xml:space="preserve"> 102116-MOD </t>
  </si>
  <si>
    <t>PRESSURIZADOR DE ÁGUA 20MCa 220V - FORNECIMENTO E INSTALAÇÃO.</t>
  </si>
  <si>
    <t xml:space="preserve"> 12.4 </t>
  </si>
  <si>
    <t xml:space="preserve"> 12.4.1 </t>
  </si>
  <si>
    <t>TUBULAÇÕES E CONEXÕES</t>
  </si>
  <si>
    <t xml:space="preserve"> 12.4.1.1 </t>
  </si>
  <si>
    <t xml:space="preserve"> 89448 </t>
  </si>
  <si>
    <t>TUBO, PVC, SOLDÁVEL, DN 40MM, INSTALADO EM PRUMADA DE ÁGUA - FORNECIMENTO E INSTALAÇÃO. AF_06/2022</t>
  </si>
  <si>
    <t xml:space="preserve"> 12.4.1.2 </t>
  </si>
  <si>
    <t xml:space="preserve"> 103979 </t>
  </si>
  <si>
    <t>TUBO, PVC, SOLDÁVEL, DN 50MM, INSTALADO EM RAMAL DE DISTRIBUIÇÃO DE ÁGUA - FORNECIMENTO E INSTALAÇÃO. AF_06/2022</t>
  </si>
  <si>
    <t xml:space="preserve"> 12.4.1.3 </t>
  </si>
  <si>
    <t xml:space="preserve"> 12.4.1.4 </t>
  </si>
  <si>
    <t xml:space="preserve"> 89451 </t>
  </si>
  <si>
    <t>TUBO, PVC, SOLDÁVEL, DN 75MM, INSTALADO EM PRUMADA DE ÁGUA - FORNECIMENTO E INSTALAÇÃO. AF_06/2022</t>
  </si>
  <si>
    <t xml:space="preserve"> 12.4.1.5 </t>
  </si>
  <si>
    <t xml:space="preserve"> 89596 </t>
  </si>
  <si>
    <t>ADAPTADOR CURTO COM BOLSA E ROSCA PARA REGISTRO, PVC, SOLDÁVEL, DN 50MM X 1.1/2 , INSTALADO EM PRUMADA DE ÁGUA - FORNECIMENTO E INSTALAÇÃO. AF_06/2022</t>
  </si>
  <si>
    <t xml:space="preserve"> 12.4.1.6 </t>
  </si>
  <si>
    <t xml:space="preserve"> 12.4.1.7 </t>
  </si>
  <si>
    <t xml:space="preserve"> 103972 </t>
  </si>
  <si>
    <t>BUCHA DE REDUÇÃO, LONGA, PVC, SOLDÁVEL, DN 75 X 50 MM, INSTALADO EM PRUMADA DE ÁGUA - FORNECIMENTO E INSTALAÇÃO. AF_06/2022</t>
  </si>
  <si>
    <t xml:space="preserve"> 12.4.1.8 </t>
  </si>
  <si>
    <t xml:space="preserve"> 12.4.1.9 </t>
  </si>
  <si>
    <t xml:space="preserve"> 89499 </t>
  </si>
  <si>
    <t>CURVA 90 GRAUS, PVC, SOLDÁVEL, DN 40MM, INSTALADO EM PRUMADA DE ÁGUA - FORNECIMENTO E INSTALAÇÃO. AF_06/2022</t>
  </si>
  <si>
    <t xml:space="preserve"> 12.4.1.10 </t>
  </si>
  <si>
    <t xml:space="preserve"> 89503 </t>
  </si>
  <si>
    <t>CURVA 90 GRAUS, PVC, SOLDÁVEL, DN 50MM, INSTALADO EM PRUMADA DE ÁGUA - FORNECIMENTO E INSTALAÇÃO. AF_06/2022</t>
  </si>
  <si>
    <t xml:space="preserve"> 12.4.1.11 </t>
  </si>
  <si>
    <t xml:space="preserve"> 12.4.1.12 </t>
  </si>
  <si>
    <t xml:space="preserve"> 89517 </t>
  </si>
  <si>
    <t>CURVA 90 GRAUS, PVC, SOLDÁVEL, DN 75MM, INSTALADO EM PRUMADA DE ÁGUA - FORNECIMENTO E INSTALAÇÃO. AF_06/2022</t>
  </si>
  <si>
    <t xml:space="preserve"> 12.4.1.13 </t>
  </si>
  <si>
    <t xml:space="preserve"> 89502 </t>
  </si>
  <si>
    <t>JOELHO 45 GRAUS, PVC, SOLDÁVEL, DN 50MM, INSTALADO EM PRUMADA DE ÁGUA - FORNECIMENTO E INSTALAÇÃO. AF_06/2022</t>
  </si>
  <si>
    <t xml:space="preserve"> 12.4.1.14 </t>
  </si>
  <si>
    <t xml:space="preserve"> 89506 </t>
  </si>
  <si>
    <t>JOELHO 45 GRAUS, PVC, SOLDÁVEL, DN 60MM, INSTALADO EM PRUMADA DE ÁGUA - FORNECIMENTO E INSTALAÇÃO. AF_06/2022</t>
  </si>
  <si>
    <t xml:space="preserve"> 12.4.1.15 </t>
  </si>
  <si>
    <t xml:space="preserve"> 89515 </t>
  </si>
  <si>
    <t>JOELHO 45 GRAUS, PVC, SOLDÁVEL, DN 75MM, INSTALADO EM PRUMADA DE ÁGUA - FORNECIMENTO E INSTALAÇÃO. AF_06/2022</t>
  </si>
  <si>
    <t xml:space="preserve"> 12.4.1.16 </t>
  </si>
  <si>
    <t xml:space="preserve"> 89497 </t>
  </si>
  <si>
    <t>JOELHO 90 GRAUS, PVC, SOLDÁVEL, DN 40MM, INSTALADO EM PRUMADA DE ÁGUA - FORNECIMENTO E INSTALAÇÃO. AF_06/2022</t>
  </si>
  <si>
    <t xml:space="preserve"> 12.4.1.17 </t>
  </si>
  <si>
    <t xml:space="preserve"> 89501 </t>
  </si>
  <si>
    <t>JOELHO 90 GRAUS, PVC, SOLDÁVEL, DN 50MM, INSTALADO EM PRUMADA DE ÁGUA - FORNECIMENTO E INSTALAÇÃO. AF_06/2022</t>
  </si>
  <si>
    <t xml:space="preserve"> 12.4.1.18 </t>
  </si>
  <si>
    <t xml:space="preserve"> 89505 </t>
  </si>
  <si>
    <t>JOELHO 90 GRAUS, PVC, SOLDÁVEL, DN 60MM, INSTALADO EM PRUMADA DE ÁGUA - FORNECIMENTO E INSTALAÇÃO. AF_06/2022</t>
  </si>
  <si>
    <t xml:space="preserve"> 12.4.1.19 </t>
  </si>
  <si>
    <t xml:space="preserve"> 89626 </t>
  </si>
  <si>
    <t>TÊ DE REDUÇÃO, PVC, SOLDÁVEL, DN 50MM X 40MM, INSTALADO EM PRUMADA DE ÁGUA - FORNECIMENTO E INSTALAÇÃO. AF_06/2022</t>
  </si>
  <si>
    <t xml:space="preserve"> 12.4.1.20 </t>
  </si>
  <si>
    <t xml:space="preserve"> 055128 </t>
  </si>
  <si>
    <t>TE DE REDUCAO 90 PVC SOLDAVEL 60 x 50mm</t>
  </si>
  <si>
    <t xml:space="preserve"> 12.4.1.21 </t>
  </si>
  <si>
    <t xml:space="preserve"> 12.4.1.22 </t>
  </si>
  <si>
    <t xml:space="preserve"> 89628 </t>
  </si>
  <si>
    <t>TE, PVC, SOLDÁVEL, DN 60MM, INSTALADO EM PRUMADA DE ÁGUA - FORNECIMENTO E INSTALAÇÃO. AF_06/2022</t>
  </si>
  <si>
    <t xml:space="preserve"> 12.4.1.23 </t>
  </si>
  <si>
    <t xml:space="preserve"> 89629 </t>
  </si>
  <si>
    <t>TE, PVC, SOLDÁVEL, DN 75MM, INSTALADO EM PRUMADA DE ÁGUA - FORNECIMENTO E INSTALAÇÃO. AF_06/2022</t>
  </si>
  <si>
    <t xml:space="preserve"> 12.4.1.24 </t>
  </si>
  <si>
    <t xml:space="preserve"> 12.4.1.25 </t>
  </si>
  <si>
    <t xml:space="preserve"> 12.4.2 </t>
  </si>
  <si>
    <t xml:space="preserve"> 12.4.2.1 </t>
  </si>
  <si>
    <t xml:space="preserve"> 12.4.2.2 </t>
  </si>
  <si>
    <t xml:space="preserve"> 95252 </t>
  </si>
  <si>
    <t>VÁLVULA DE ESFERA BRUTA, BRONZE, ROSCÁVEL, 1 1/2'' - FORNECIMENTO E INSTALAÇÃO. AF_08/2021</t>
  </si>
  <si>
    <t xml:space="preserve"> 12.4.2.3 </t>
  </si>
  <si>
    <t xml:space="preserve"> 95253 </t>
  </si>
  <si>
    <t>VÁLVULA DE ESFERA BRUTA, BRONZE, ROSCÁVEL, 2'' - FORNECIMENTO E INSTALAÇÃO. AF_08/2021</t>
  </si>
  <si>
    <t xml:space="preserve"> 12.4.2.4 </t>
  </si>
  <si>
    <t xml:space="preserve"> 12.4.2.5 </t>
  </si>
  <si>
    <t xml:space="preserve"> 12.4.3 </t>
  </si>
  <si>
    <t>BOMBAS E FILTROS</t>
  </si>
  <si>
    <t xml:space="preserve"> 12.4.3.1 </t>
  </si>
  <si>
    <t xml:space="preserve"> 12.4.3.2 </t>
  </si>
  <si>
    <t xml:space="preserve"> 102116-FILTRO </t>
  </si>
  <si>
    <t>FILTRO PARA PISCINA JACUZZI 32 TP - ATÉ 188.000 LITROS OU SIMILAR, COM AREIA - FORNECIMENTO E INSTALAÇÃO.</t>
  </si>
  <si>
    <t xml:space="preserve"> 12.4.3.3 </t>
  </si>
  <si>
    <t xml:space="preserve"> 102116-BOMBA PISCINA </t>
  </si>
  <si>
    <t>BOMBA PARA PISCINA SODRAMAR BMC-200 2CV MONOFÁSICA 110V/220V - ATÉ 226.000 LITROS OU SIMILAR - FORNECIMENTO E INSTALAÇÃO.</t>
  </si>
  <si>
    <t xml:space="preserve"> 12.4.4 </t>
  </si>
  <si>
    <t>DRENAGEM</t>
  </si>
  <si>
    <t xml:space="preserve"> 12.4.4.1 </t>
  </si>
  <si>
    <t xml:space="preserve"> 12.4.4.1.1 </t>
  </si>
  <si>
    <t xml:space="preserve"> 89714 </t>
  </si>
  <si>
    <t>TUBO PVC, SERIE NORMAL, ESGOTO PREDIAL, DN 100 MM, FORNECIDO E INSTALADO EM RAMAL DE DESCARGA OU RAMAL DE ESGOTO SANITÁRIO. AF_08/2022</t>
  </si>
  <si>
    <t xml:space="preserve"> 12.4.4.1.2 </t>
  </si>
  <si>
    <t xml:space="preserve"> 89746 </t>
  </si>
  <si>
    <t>JOELHO 45 GRAUS, PVC, SERIE NORMAL, ESGOTO PREDIAL, DN 100 MM, JUNTA ELÁSTICA, FORNECIDO E INSTALADO EM RAMAL DE DESCARGA OU RAMAL DE ESGOTO SANITÁRIO. AF_08/2022</t>
  </si>
  <si>
    <t xml:space="preserve"> 12.4.4.1.3 </t>
  </si>
  <si>
    <t xml:space="preserve"> 89744 </t>
  </si>
  <si>
    <t>JOELHO 90 GRAUS, PVC, SERIE NORMAL, ESGOTO PREDIAL, DN 100 MM, JUNTA ELÁSTICA, FORNECIDO E INSTALADO EM RAMAL DE DESCARGA OU RAMAL DE ESGOTO SANITÁRIO. AF_08/2022</t>
  </si>
  <si>
    <t xml:space="preserve"> 12.4.4.1.4 </t>
  </si>
  <si>
    <t xml:space="preserve"> 89797 </t>
  </si>
  <si>
    <t>JUNÇÃO SIMPLES, PVC, SERIE NORMAL, ESGOTO PREDIAL, DN 100 X 100 MM, JUNTA ELÁSTICA, FORNECIDO E INSTALADO EM RAMAL DE DESCARGA OU RAMAL DE ESGOTO SANITÁRIO. AF_08/2022</t>
  </si>
  <si>
    <t xml:space="preserve"> 12.4.4.1.5 </t>
  </si>
  <si>
    <t xml:space="preserve"> 89778 </t>
  </si>
  <si>
    <t>LUVA SIMPLES, PVC, SERIE NORMAL, ESGOTO PREDIAL, DN 100 MM, JUNTA ELÁSTICA, FORNECIDO E INSTALADO EM RAMAL DE DESCARGA OU RAMAL DE ESGOTO SANITÁRIO. AF_08/2022</t>
  </si>
  <si>
    <t xml:space="preserve"> 12.4.5 </t>
  </si>
  <si>
    <t>PEÇAS HIDRÁULICAS E SANITÁRIAS</t>
  </si>
  <si>
    <t xml:space="preserve"> 12.4.5.1 </t>
  </si>
  <si>
    <t xml:space="preserve"> 002145 </t>
  </si>
  <si>
    <t>DISPOSITIVO DE ASPIRACAO ACO INOX PREMIUM SODRAMAR</t>
  </si>
  <si>
    <t xml:space="preserve"> 12.4.5.2 </t>
  </si>
  <si>
    <t xml:space="preserve"> 077717 </t>
  </si>
  <si>
    <t>DISPOSITIVO DE RETORNO ABS/INOX PRATIC 1 1/2" SODRAMAR</t>
  </si>
  <si>
    <t xml:space="preserve"> 12.4.5.3 </t>
  </si>
  <si>
    <t xml:space="preserve"> 12359 </t>
  </si>
  <si>
    <t>Ralo de fundo 2", anti-turbilhão, em bronze</t>
  </si>
  <si>
    <t>un</t>
  </si>
  <si>
    <t xml:space="preserve"> 12.4.5.4 </t>
  </si>
  <si>
    <t xml:space="preserve"> 006172 </t>
  </si>
  <si>
    <t>SKIMMER BOCA PEQUENA COM COADEIRA PARA PISCINA - SODRAMAR</t>
  </si>
  <si>
    <t xml:space="preserve"> 12.4.5.5 </t>
  </si>
  <si>
    <t xml:space="preserve"> 4957 </t>
  </si>
  <si>
    <t>Calha com grelha de piso normal DN 200 em PVC Tigre ou similar</t>
  </si>
  <si>
    <t xml:space="preserve"> 13 </t>
  </si>
  <si>
    <t>DRENAGEM DE ÁGUAS PLUVIAIS</t>
  </si>
  <si>
    <t xml:space="preserve"> 13.1 </t>
  </si>
  <si>
    <t>TUBOS E CONEXÕES</t>
  </si>
  <si>
    <t xml:space="preserve"> 13.1.1 </t>
  </si>
  <si>
    <t xml:space="preserve"> 95568 </t>
  </si>
  <si>
    <t>TUBO DE CONCRETO (SIMPLES) PARA REDES COLETORAS DE ÁGUAS PLUVIAIS, DIÂMETRO DE 400 MM, JUNTA RÍGIDA, INSTALADO EM LOCAL COM BAIXO NÍVEL DE INTERFERÊNCIAS - FORNECIMENTO E ASSENTAMENTO. AF_12/2015</t>
  </si>
  <si>
    <t xml:space="preserve"> 13.1.2 </t>
  </si>
  <si>
    <t xml:space="preserve"> 92212 </t>
  </si>
  <si>
    <t>TUBO DE CONCRETO PARA REDES COLETORAS DE ÁGUAS PLUVIAIS, DIÂMETRO DE 600 MM, JUNTA RÍGIDA, INSTALADO EM LOCAL COM BAIXO NÍVEL DE INTERFERÊNCIAS - FORNECIMENTO E ASSENTAMENTO. AF_12/2015</t>
  </si>
  <si>
    <t xml:space="preserve"> 13.1.3 </t>
  </si>
  <si>
    <t xml:space="preserve"> 10996 </t>
  </si>
  <si>
    <t>Fornecimento e assentamento de tubo corrugado parede dupla PEAD, d= 200mm (8"), p/sistemas drenagem, Tigre-ADS N-12 ou similar</t>
  </si>
  <si>
    <t xml:space="preserve"> 13.1.4 </t>
  </si>
  <si>
    <t xml:space="preserve"> 10998 </t>
  </si>
  <si>
    <t>Fornecimento e assentamento de tubo corrugado parede dupla PEAD, d= 300mm (12"), p/sistemas drenagem, Tigre-ADS N-12 ou similar</t>
  </si>
  <si>
    <t xml:space="preserve"> 13.1.5 </t>
  </si>
  <si>
    <t xml:space="preserve"> 89712 </t>
  </si>
  <si>
    <t>TUBO PVC, SERIE NORMAL, ESGOTO PREDIAL, DN 50 MM, FORNECIDO E INSTALADO EM RAMAL DE DESCARGA OU RAMAL DE ESGOTO SANITÁRIO. AF_08/2022</t>
  </si>
  <si>
    <t xml:space="preserve"> 13.1.6 </t>
  </si>
  <si>
    <t xml:space="preserve"> 89511 </t>
  </si>
  <si>
    <t>TUBO PVC, SÉRIE R, ÁGUA PLUVIAL, DN 75 MM, FORNECIDO E INSTALADO EM RAMAL DE ENCAMINHAMENTO. AF_06/2022</t>
  </si>
  <si>
    <t xml:space="preserve"> 13.1.7 </t>
  </si>
  <si>
    <t xml:space="preserve"> 13.1.8 </t>
  </si>
  <si>
    <t xml:space="preserve"> 89849 </t>
  </si>
  <si>
    <t>TUBO PVC, SERIE NORMAL, ESGOTO PREDIAL, DN 150 MM, FORNECIDO E INSTALADO EM SUBCOLETOR AÉREO DE ESGOTO SANITÁRIO. AF_08/2022</t>
  </si>
  <si>
    <t xml:space="preserve"> 13.1.9 </t>
  </si>
  <si>
    <t xml:space="preserve"> 053052 </t>
  </si>
  <si>
    <t>TUBO PVC ESGOTO 200mm</t>
  </si>
  <si>
    <t xml:space="preserve"> 13.1.10 </t>
  </si>
  <si>
    <t xml:space="preserve"> 89732 </t>
  </si>
  <si>
    <t>JOELHO 45 GRAUS, PVC, SERIE NORMAL, ESGOTO PREDIAL, DN 50 MM, JUNTA ELÁSTICA, FORNECIDO E INSTALADO EM RAMAL DE DESCARGA OU RAMAL DE ESGOTO SANITÁRIO. AF_08/2022</t>
  </si>
  <si>
    <t xml:space="preserve"> 13.1.11 </t>
  </si>
  <si>
    <t xml:space="preserve"> 89739 </t>
  </si>
  <si>
    <t>JOELHO 45 GRAUS, PVC, SERIE NORMAL, ESGOTO PREDIAL, DN 75 MM, JUNTA ELÁSTICA, FORNECIDO E INSTALADO EM RAMAL DE DESCARGA OU RAMAL DE ESGOTO SANITÁRIO. AF_08/2022</t>
  </si>
  <si>
    <t xml:space="preserve"> 13.1.12 </t>
  </si>
  <si>
    <t xml:space="preserve"> 89810 </t>
  </si>
  <si>
    <t>JOELHO 45 GRAUS, PVC, SERIE NORMAL, ESGOTO PREDIAL, DN 100 MM, JUNTA ELÁSTICA, FORNECIDO E INSTALADO EM PRUMADA DE ESGOTO SANITÁRIO OU VENTILAÇÃO. AF_08/2022</t>
  </si>
  <si>
    <t xml:space="preserve"> 13.1.13 </t>
  </si>
  <si>
    <t xml:space="preserve"> 053125 </t>
  </si>
  <si>
    <t>JOELHO PVC, SOLDAVEL, PB, 45 GRAUS, DN 200 MM, PARA ESGOTO</t>
  </si>
  <si>
    <t xml:space="preserve"> 13.1.14 </t>
  </si>
  <si>
    <t xml:space="preserve"> 89731 </t>
  </si>
  <si>
    <t>JOELHO 90 GRAUS, PVC, SERIE NORMAL, ESGOTO PREDIAL, DN 50 MM, JUNTA ELÁSTICA, FORNECIDO E INSTALADO EM RAMAL DE DESCARGA OU RAMAL DE ESGOTO SANITÁRIO. AF_08/2022</t>
  </si>
  <si>
    <t xml:space="preserve"> 13.1.15 </t>
  </si>
  <si>
    <t xml:space="preserve"> 89737 </t>
  </si>
  <si>
    <t>JOELHO 90 GRAUS, PVC, SERIE NORMAL, ESGOTO PREDIAL, DN 75 MM, JUNTA ELÁSTICA, FORNECIDO E INSTALADO EM RAMAL DE DESCARGA OU RAMAL DE ESGOTO SANITÁRIO. AF_08/2022</t>
  </si>
  <si>
    <t xml:space="preserve"> 13.1.16 </t>
  </si>
  <si>
    <t xml:space="preserve"> 13.1.17 </t>
  </si>
  <si>
    <t xml:space="preserve"> 89795 </t>
  </si>
  <si>
    <t>JUNÇÃO SIMPLES, PVC, SERIE NORMAL, ESGOTO PREDIAL, DN 75 X 75 MM, JUNTA ELÁSTICA, FORNECIDO E INSTALADO EM RAMAL DE DESCARGA OU RAMAL DE ESGOTO SANITÁRIO. AF_08/2022</t>
  </si>
  <si>
    <t xml:space="preserve"> 13.1.18 </t>
  </si>
  <si>
    <t xml:space="preserve"> 89753 </t>
  </si>
  <si>
    <t>LUVA SIMPLES, PVC, SERIE NORMAL, ESGOTO PREDIAL, DN 50 MM, JUNTA ELÁSTICA, FORNECIDO E INSTALADO EM RAMAL DE DESCARGA OU RAMAL DE ESGOTO SANITÁRIO. AF_08/2022</t>
  </si>
  <si>
    <t xml:space="preserve"> 13.1.19 </t>
  </si>
  <si>
    <t xml:space="preserve"> 89774 </t>
  </si>
  <si>
    <t>LUVA SIMPLES, PVC, SERIE NORMAL, ESGOTO PREDIAL, DN 75 MM, JUNTA ELÁSTICA, FORNECIDO E INSTALADO EM RAMAL DE DESCARGA OU RAMAL DE ESGOTO SANITÁRIO. AF_08/2022</t>
  </si>
  <si>
    <t xml:space="preserve"> 13.1.20 </t>
  </si>
  <si>
    <t xml:space="preserve"> 89821 </t>
  </si>
  <si>
    <t>LUVA SIMPLES, PVC, SERIE NORMAL, ESGOTO PREDIAL, DN 100 MM, JUNTA ELÁSTICA, FORNECIDO E INSTALADO EM PRUMADA DE ESGOTO SANITÁRIO OU VENTILAÇÃO. AF_08/2022</t>
  </si>
  <si>
    <t xml:space="preserve"> 13.1.21 </t>
  </si>
  <si>
    <t xml:space="preserve"> 8061 </t>
  </si>
  <si>
    <t>Luva simples em pvc rígido soldável, para esgoto primário, diâm = 200mm</t>
  </si>
  <si>
    <t xml:space="preserve"> 13.2 </t>
  </si>
  <si>
    <t>CALHAS, CANALETAS E CAIXAS</t>
  </si>
  <si>
    <t xml:space="preserve"> 13.2.1 </t>
  </si>
  <si>
    <t xml:space="preserve"> 94228 </t>
  </si>
  <si>
    <t>CALHA EM CHAPA DE AÇO GALVANIZADO NÚMERO 24, DESENVOLVIMENTO DE 50 CM, INCLUSO TRANSPORTE VERTICAL. AF_07/2019</t>
  </si>
  <si>
    <t xml:space="preserve"> 13.2.2 </t>
  </si>
  <si>
    <t xml:space="preserve"> 94229 </t>
  </si>
  <si>
    <t>CALHA EM CHAPA DE AÇO GALVANIZADO NÚMERO 24, DESENVOLVIMENTO DE 100 CM, INCLUSO TRANSPORTE VERTICAL. AF_07/2019</t>
  </si>
  <si>
    <t xml:space="preserve"> 13.2.3 </t>
  </si>
  <si>
    <t xml:space="preserve"> 102994 </t>
  </si>
  <si>
    <t>CANALETA MEIA CANA PRÉ-MOLDADA DE CONCRETO (D = 80 CM) - FORNECIMENTO E INSTALAÇÃO. AF_08/2021</t>
  </si>
  <si>
    <t xml:space="preserve"> 13.2.4 </t>
  </si>
  <si>
    <t xml:space="preserve"> 99253 </t>
  </si>
  <si>
    <t>CAIXA ENTERRADA HIDRÁULICA RETANGULAR EM ALVENARIA COM TIJOLOS CERÂMICOS MACIÇOS, DIMENSÕES INTERNAS: 0,6X0,6X0,6 M PARA REDE DE DRENAGEM. AF_12/2020</t>
  </si>
  <si>
    <t xml:space="preserve"> 13.2.5 </t>
  </si>
  <si>
    <t xml:space="preserve"> 99255 </t>
  </si>
  <si>
    <t>CAIXA ENTERRADA HIDRÁULICA RETANGULAR EM ALVENARIA COM TIJOLOS CERÂMICOS MACIÇOS, DIMENSÕES INTERNAS: 0,8X0,8X0,6 M PARA REDE DE DRENAGEM. AF_12/2020</t>
  </si>
  <si>
    <t xml:space="preserve"> 13.2.6 </t>
  </si>
  <si>
    <t xml:space="preserve"> 11534 </t>
  </si>
  <si>
    <t>Caixa de passagem em alvenaria de tijolos maciços esp. = 0,12m,  dim. int. = 1.00 x 1.00 x 0,80m</t>
  </si>
  <si>
    <t xml:space="preserve"> 13.2.7 </t>
  </si>
  <si>
    <t xml:space="preserve"> C0605 </t>
  </si>
  <si>
    <t>CAIXA DE INSPEÇÃO EM ALVENARIA - 1/2 TIJOLO COMUM</t>
  </si>
  <si>
    <t xml:space="preserve"> 13.2.8 </t>
  </si>
  <si>
    <t xml:space="preserve"> 98557 </t>
  </si>
  <si>
    <t>IMPERMEABILIZAÇÃO DE SUPERFÍCIE COM EMULSÃO ASFÁLTICA, 2 DEMÃOS. AF_09/2023</t>
  </si>
  <si>
    <t>QUANTITATIVO DE ACORDO COM AS CANALETAS QUE FOI EXTRAIDO DO PROJETO QUE FOI REALIZADO EM METODOLOGIA BIM</t>
  </si>
  <si>
    <t xml:space="preserve"> 13.2.9 </t>
  </si>
  <si>
    <t>QUANTITATIVO DE ACORDO COM AS CALHAS QUE FOI EXTRAIDO DO PROJETO QUE FOI REALIZADO EM METODOLOGIA BIM</t>
  </si>
  <si>
    <t>QUANTITATIVO DE ACORDO COM AS CALHAS QUE EXTRAIDO DO PROJETO QUE FOI REALIZADO EM METODOLOGIA BIM</t>
  </si>
  <si>
    <t xml:space="preserve"> 13.2.10 </t>
  </si>
  <si>
    <t xml:space="preserve"> 054307 </t>
  </si>
  <si>
    <t>TAMPA PLACA CONCRETO MOLDADA NA OBRA ESPESSURA 5cm</t>
  </si>
  <si>
    <t>QUANTITATIVO EXTRAIDO DO PROJETO DE ÁGUAS PLUVIAIS QUE FOI REALIZADO EM METODOLOGIA BIM</t>
  </si>
  <si>
    <t xml:space="preserve"> 14 </t>
  </si>
  <si>
    <t>INSTALAÇÃO SANITÁRIA</t>
  </si>
  <si>
    <t xml:space="preserve"> 14.1 </t>
  </si>
  <si>
    <t xml:space="preserve"> 14.1.1 </t>
  </si>
  <si>
    <t xml:space="preserve"> 89711 </t>
  </si>
  <si>
    <t>TUBO PVC, SERIE NORMAL, ESGOTO PREDIAL, DN 40 MM, FORNECIDO E INSTALADO EM RAMAL DE DESCARGA OU RAMAL DE ESGOTO SANITÁRIO. AF_08/2022</t>
  </si>
  <si>
    <t xml:space="preserve"> 14.1.2 </t>
  </si>
  <si>
    <t xml:space="preserve"> 14.1.3 </t>
  </si>
  <si>
    <t xml:space="preserve"> 14.1.4 </t>
  </si>
  <si>
    <t xml:space="preserve"> 14.1.5 </t>
  </si>
  <si>
    <t xml:space="preserve"> 9389 </t>
  </si>
  <si>
    <t>Tubo pvc rígido soldável, serie reforçada, p/esgoto e aguas pluviais, d =  40mm</t>
  </si>
  <si>
    <t xml:space="preserve"> 14.1.6 </t>
  </si>
  <si>
    <t xml:space="preserve"> 9390 </t>
  </si>
  <si>
    <t>Tubo pvc rígido soldável, serie reforçada, p/esgoto e aguas pluviais, d =  50mm</t>
  </si>
  <si>
    <t xml:space="preserve"> 14.1.7 </t>
  </si>
  <si>
    <t xml:space="preserve"> 9376 </t>
  </si>
  <si>
    <t>Tubo pvc rigido soldavel, série reforçada, p/esgoto e aguas pluviais, d=  75mm</t>
  </si>
  <si>
    <t xml:space="preserve"> 14.1.8 </t>
  </si>
  <si>
    <t xml:space="preserve"> 9377 </t>
  </si>
  <si>
    <t>Tubo pvc rigido soldavel, serie reforçada, p/esgoto e aguas pluviais, d= 100mm</t>
  </si>
  <si>
    <t xml:space="preserve"> 14.1.9 </t>
  </si>
  <si>
    <t xml:space="preserve"> 92336 </t>
  </si>
  <si>
    <t>TUBO DE AÇO GALVANIZADO COM COSTURA, CLASSE MÉDIA, CONEXÃO RANHURADA, DN 65 (2 1/2"), INSTALADO EM PRUMADAS - FORNECIMENTO E INSTALAÇÃO. AF_10/2020</t>
  </si>
  <si>
    <t xml:space="preserve"> 14.1.10 </t>
  </si>
  <si>
    <t xml:space="preserve"> 89546 </t>
  </si>
  <si>
    <t>BUCHA DE REDUÇÃO LONGA, PVC, SERIE R, ÁGUA PLUVIAL, DN 50 X 40 MM, JUNTA ELÁSTICA, FORNECIDO E INSTALADO EM RAMAL DE ENCAMINHAMENTO. AF_06/2022</t>
  </si>
  <si>
    <t xml:space="preserve"> 14.1.11 </t>
  </si>
  <si>
    <t xml:space="preserve"> 1610 </t>
  </si>
  <si>
    <t>Cap de pvc rígido c/ anéis p/ esgoto, diâm. = 50mm</t>
  </si>
  <si>
    <t xml:space="preserve"> 14.1.12 </t>
  </si>
  <si>
    <t xml:space="preserve"> 4763 </t>
  </si>
  <si>
    <t>Cap de pvc rígido c/ anéis p/ esgoto, diâm. =150mm</t>
  </si>
  <si>
    <t xml:space="preserve"> 14.1.13 </t>
  </si>
  <si>
    <t xml:space="preserve"> 89803 </t>
  </si>
  <si>
    <t>CURVA CURTA 90 GRAUS, PVC, SERIE NORMAL, ESGOTO PREDIAL, DN 50 MM, JUNTA ELÁSTICA, FORNECIDO E INSTALADO EM PRUMADA DE ESGOTO SANITÁRIO OU VENTILAÇÃO. AF_08/2022</t>
  </si>
  <si>
    <t xml:space="preserve"> 14.1.14 </t>
  </si>
  <si>
    <t xml:space="preserve"> 89726 </t>
  </si>
  <si>
    <t>JOELHO 45 GRAUS, PVC, SERIE NORMAL, ESGOTO PREDIAL, DN 40 MM, JUNTA SOLDÁVEL, FORNECIDO E INSTALADO EM RAMAL DE DESCARGA OU RAMAL DE ESGOTO SANITÁRIO. AF_08/2022</t>
  </si>
  <si>
    <t xml:space="preserve"> 14.1.15 </t>
  </si>
  <si>
    <t xml:space="preserve"> 89516 </t>
  </si>
  <si>
    <t>JOELHO 45 GRAUS, PVC, SERIE R, ÁGUA PLUVIAL, DN 40 MM, JUNTA SOLDÁVEL, FORNECIDO E INSTALADO EM RAMAL DE ENCAMINHAMENTO. AF_06/2022</t>
  </si>
  <si>
    <t xml:space="preserve"> 14.1.16 </t>
  </si>
  <si>
    <t xml:space="preserve"> 14.1.17 </t>
  </si>
  <si>
    <t xml:space="preserve"> 89520 </t>
  </si>
  <si>
    <t>JOELHO 45 GRAUS, PVC, SERIE R, ÁGUA PLUVIAL, DN 50 MM, JUNTA ELÁSTICA, FORNECIDO E INSTALADO EM RAMAL DE ENCAMINHAMENTO. AF_06/2022</t>
  </si>
  <si>
    <t xml:space="preserve"> 14.1.18 </t>
  </si>
  <si>
    <t xml:space="preserve"> 14.1.19 </t>
  </si>
  <si>
    <t xml:space="preserve"> 14.1.20 </t>
  </si>
  <si>
    <t xml:space="preserve"> 89531 </t>
  </si>
  <si>
    <t>JOELHO 45 GRAUS, PVC, SERIE R, ÁGUA PLUVIAL, DN 100 MM, JUNTA ELÁSTICA, FORNECIDO E INSTALADO EM RAMAL DE ENCAMINHAMENTO. AF_06/2022</t>
  </si>
  <si>
    <t xml:space="preserve"> 14.1.21 </t>
  </si>
  <si>
    <t xml:space="preserve"> 89855 </t>
  </si>
  <si>
    <t>JOELHO 45 GRAUS, PVC, SERIE NORMAL, ESGOTO PREDIAL, DN 150 MM, JUNTA ELÁSTICA, FORNECIDO E INSTALADO EM SUBCOLETOR AÉREO DE ESGOTO SANITÁRIO. AF_08/2022</t>
  </si>
  <si>
    <t xml:space="preserve"> 14.1.22 </t>
  </si>
  <si>
    <t xml:space="preserve"> 89724 </t>
  </si>
  <si>
    <t>JOELHO 90 GRAUS, PVC, SERIE NORMAL, ESGOTO PREDIAL, DN 40 MM, JUNTA SOLDÁVEL, FORNECIDO E INSTALADO EM RAMAL DE DESCARGA OU RAMAL DE ESGOTO SANITÁRIO. AF_08/2022</t>
  </si>
  <si>
    <t xml:space="preserve"> 14.1.23 </t>
  </si>
  <si>
    <t xml:space="preserve"> 89514 </t>
  </si>
  <si>
    <t>JOELHO 90 GRAUS, PVC, SERIE R, ÁGUA PLUVIAL, DN 40 MM, JUNTA SOLDÁVEL, FORNECIDO E INSTALADO EM RAMAL DE ENCAMINHAMENTO. AF_06/2022</t>
  </si>
  <si>
    <t xml:space="preserve"> 14.1.24 </t>
  </si>
  <si>
    <t xml:space="preserve"> 14.1.25 </t>
  </si>
  <si>
    <t xml:space="preserve"> 89518 </t>
  </si>
  <si>
    <t>JOELHO 90 GRAUS, PVC, SERIE R, ÁGUA PLUVIAL, DN 50 MM, JUNTA ELÁSTICA, FORNECIDO E INSTALADO EM RAMAL DE ENCAMINHAMENTO. AF_06/2022</t>
  </si>
  <si>
    <t xml:space="preserve"> 14.1.26 </t>
  </si>
  <si>
    <t xml:space="preserve"> 89522 </t>
  </si>
  <si>
    <t>JOELHO 90 GRAUS, PVC, SERIE R, ÁGUA PLUVIAL, DN 75 MM, JUNTA ELÁSTICA, FORNECIDO E INSTALADO EM RAMAL DE ENCAMINHAMENTO. AF_06/2022</t>
  </si>
  <si>
    <t xml:space="preserve"> 14.1.27 </t>
  </si>
  <si>
    <t xml:space="preserve"> 14.1.28 </t>
  </si>
  <si>
    <t xml:space="preserve"> 89529 </t>
  </si>
  <si>
    <t>JOELHO 90 GRAUS, PVC, SERIE R, ÁGUA PLUVIAL, DN 100 MM, JUNTA ELÁSTICA, FORNECIDO E INSTALADO EM RAMAL DE ENCAMINHAMENTO. AF_06/2022</t>
  </si>
  <si>
    <t xml:space="preserve"> 14.1.29 </t>
  </si>
  <si>
    <t xml:space="preserve"> 89785 </t>
  </si>
  <si>
    <t>JUNÇÃO SIMPLES, PVC, SERIE NORMAL, ESGOTO PREDIAL, DN 50 X 50 MM, JUNTA ELÁSTICA, FORNECIDO E INSTALADO EM RAMAL DE DESCARGA OU RAMAL DE ESGOTO SANITÁRIO. AF_08/2022</t>
  </si>
  <si>
    <t xml:space="preserve"> 14.1.30 </t>
  </si>
  <si>
    <t xml:space="preserve"> 89563 </t>
  </si>
  <si>
    <t>JUNÇÃO SIMPLES, PVC, SERIE R, ÁGUA PLUVIAL, DN 50 MM, JUNTA ELÁSTICA, FORNECIDO E INSTALADO EM RAMAL DE ENCAMINHAMENTO. AF_06/2022</t>
  </si>
  <si>
    <t xml:space="preserve"> 14.1.31 </t>
  </si>
  <si>
    <t xml:space="preserve"> 1634 </t>
  </si>
  <si>
    <t>Junção simples em pvc rígido c/ anéis, para esgoto primário, diâm = 75 x 50mmRev. 01 - 10/2022</t>
  </si>
  <si>
    <t xml:space="preserve"> 14.1.32 </t>
  </si>
  <si>
    <t xml:space="preserve"> 14.1.33 </t>
  </si>
  <si>
    <t xml:space="preserve"> 1636 </t>
  </si>
  <si>
    <t>Junção simples em pvc rígido c/ anéis, para esgoto primário, diâm =100 x 50mm</t>
  </si>
  <si>
    <t xml:space="preserve"> 14.1.34 </t>
  </si>
  <si>
    <t xml:space="preserve"> 89834 </t>
  </si>
  <si>
    <t>JUNÇÃO SIMPLES, PVC, SERIE NORMAL, ESGOTO PREDIAL, DN 100 X 100 MM, JUNTA ELÁSTICA, FORNECIDO E INSTALADO EM PRUMADA DE ESGOTO SANITÁRIO OU VENTILAÇÃO. AF_08/2022</t>
  </si>
  <si>
    <t xml:space="preserve"> 14.1.35 </t>
  </si>
  <si>
    <t xml:space="preserve"> 89567 </t>
  </si>
  <si>
    <t>JUNÇÃO SIMPLES, PVC, SERIE R, ÁGUA PLUVIAL, DN 100 X 100 MM, JUNTA ELÁSTICA, FORNECIDO E INSTALADO EM RAMAL DE ENCAMINHAMENTO. AF_06/2022</t>
  </si>
  <si>
    <t xml:space="preserve"> 14.1.36 </t>
  </si>
  <si>
    <t xml:space="preserve"> 1687 </t>
  </si>
  <si>
    <t>Junção simples pvc rígido sóldável para esgoto secundário ø 150x100mm  Rev. 01 - 10/2022</t>
  </si>
  <si>
    <t xml:space="preserve"> 14.1.37 </t>
  </si>
  <si>
    <t xml:space="preserve"> 89813 </t>
  </si>
  <si>
    <t>LUVA SIMPLES, PVC, SERIE NORMAL, ESGOTO PREDIAL, DN 50 MM, JUNTA ELÁSTICA, FORNECIDO E INSTALADO EM PRUMADA DE ESGOTO SANITÁRIO OU VENTILAÇÃO. AF_08/2022</t>
  </si>
  <si>
    <t xml:space="preserve"> 14.1.38 </t>
  </si>
  <si>
    <t xml:space="preserve"> 89545 </t>
  </si>
  <si>
    <t>LUVA SIMPLES, PVC, SERIE R, ÁGUA PLUVIAL, DN 50 MM, JUNTA ELÁSTICA, FORNECIDO E INSTALADO EM RAMAL DE ENCAMINHAMENTO. AF_06/2022</t>
  </si>
  <si>
    <t xml:space="preserve"> 14.1.39 </t>
  </si>
  <si>
    <t xml:space="preserve"> 14.1.40 </t>
  </si>
  <si>
    <t xml:space="preserve"> 89547 </t>
  </si>
  <si>
    <t>LUVA SIMPLES, PVC, SERIE R, ÁGUA PLUVIAL, DN 75 MM, JUNTA ELÁSTICA, FORNECIDO E INSTALADO EM RAMAL DE ENCAMINHAMENTO. AF_06/2022</t>
  </si>
  <si>
    <t xml:space="preserve"> 14.1.41 </t>
  </si>
  <si>
    <t xml:space="preserve"> 14.1.42 </t>
  </si>
  <si>
    <t xml:space="preserve"> 89554 </t>
  </si>
  <si>
    <t>LUVA SIMPLES, PVC, SERIE R, ÁGUA PLUVIAL, DN 100 MM, JUNTA ELÁSTICA, FORNECIDO E INSTALADO EM RAMAL DE ENCAMINHAMENTO. AF_06/2022</t>
  </si>
  <si>
    <t xml:space="preserve"> 14.1.43 </t>
  </si>
  <si>
    <t xml:space="preserve"> 95693 </t>
  </si>
  <si>
    <t>LUVA SIMPLES, PVC, SÉRIE NORMAL, ESGOTO PREDIAL, DN 150 MM, JUNTA ELÁSTICA, FORNECIDO E INSTALADO EM SUBCOLETOR AÉREO DE ESGOTO SANITÁRIO. AF_08/2022</t>
  </si>
  <si>
    <t xml:space="preserve"> 14.1.44 </t>
  </si>
  <si>
    <t xml:space="preserve"> 053421 </t>
  </si>
  <si>
    <t>REDUCAO EXCENTRICA PVC ESGOTO 75x50mm</t>
  </si>
  <si>
    <t xml:space="preserve"> 14.1.45 </t>
  </si>
  <si>
    <t xml:space="preserve"> 1583 </t>
  </si>
  <si>
    <t>Redução excentrica em pvc rígido soldável, para esgoto primário, diâm = 100 x50mm</t>
  </si>
  <si>
    <t xml:space="preserve"> 14.1.46 </t>
  </si>
  <si>
    <t xml:space="preserve"> 104348 </t>
  </si>
  <si>
    <t>TERMINAL DE VENTILAÇÃO, PVC, SÉRIE NORMAL, ESGOTO PREDIAL, DN 50 MM, JUNTA SOLDÁVEL, FORNECIDO E INSTALADO EM PRUMADA DE ESGOTO SANITÁRIO OU VENTILAÇÃO. AF_08/2022</t>
  </si>
  <si>
    <t xml:space="preserve"> 14.1.47 </t>
  </si>
  <si>
    <t xml:space="preserve"> 104356 </t>
  </si>
  <si>
    <t>TERMINAL DE VENTILAÇÃO, PVC, SÉRIE NORMAL, ESGOTO PREDIAL, DN 100 MM, JUNTA SOLDÁVEL, FORNECIDO E INSTALADO EM PRUMADA DE ESGOTO SANITÁRIO OU VENTILAÇÃO. AF_08/2022</t>
  </si>
  <si>
    <t xml:space="preserve"> 14.1.48 </t>
  </si>
  <si>
    <t xml:space="preserve"> 89784 </t>
  </si>
  <si>
    <t>TE, PVC, SERIE NORMAL, ESGOTO PREDIAL, DN 50 X 50 MM, JUNTA ELÁSTICA, FORNECIDO E INSTALADO EM RAMAL DE DESCARGA OU RAMAL DE ESGOTO SANITÁRIO. AF_08/2022</t>
  </si>
  <si>
    <t xml:space="preserve"> 14.1.49 </t>
  </si>
  <si>
    <t xml:space="preserve"> 9759 </t>
  </si>
  <si>
    <t>Tê 90º de pvc rígido, série R, diâm = 50mm</t>
  </si>
  <si>
    <t xml:space="preserve"> 14.1.50 </t>
  </si>
  <si>
    <t xml:space="preserve"> 89833 </t>
  </si>
  <si>
    <t>TE, PVC, SERIE NORMAL, ESGOTO PREDIAL, DN 100 X 100 MM, JUNTA ELÁSTICA, FORNECIDO E INSTALADO EM PRUMADA DE ESGOTO SANITÁRIO OU VENTILAÇÃO. AF_08/2022</t>
  </si>
  <si>
    <t xml:space="preserve"> 14.1.51 </t>
  </si>
  <si>
    <t xml:space="preserve"> 1206 </t>
  </si>
  <si>
    <t>Tê redução 90 gr pvc rígido p/esgoto primário diâmetro 150x100mm Rev. 01 - 10/2022</t>
  </si>
  <si>
    <t xml:space="preserve"> 14.1.52 </t>
  </si>
  <si>
    <t xml:space="preserve"> 4762 </t>
  </si>
  <si>
    <t>Tê sanitário em pvc rígido soldavel, para esgoto, diâm =150mm</t>
  </si>
  <si>
    <t xml:space="preserve"> 14.1.53 </t>
  </si>
  <si>
    <t xml:space="preserve"> 94474 </t>
  </si>
  <si>
    <t>COTOVELO 45 GRAUS, EM FERRO GALVANIZADO, CONEXÃO ROSQUEADA, DN 65 (2 1/2), INSTALADO EM RESERVAÇÃO DE ÁGUA DE EDIFICAÇÃO QUE POSSUA RESERVATÓRIO DE FIBRA/FIBROCIMENTO  FORNECIMENTO E INSTALAÇÃO. AF_06/2016</t>
  </si>
  <si>
    <t xml:space="preserve"> 14.1.54 </t>
  </si>
  <si>
    <t xml:space="preserve"> 97436 </t>
  </si>
  <si>
    <t>CURVA 90 GRAUS, EM AÇO, CONEXÃO RANHURADA, DN 65 (2 1/2"), INSTALADO EM PRUMADAS - FORNECIMENTO E INSTALAÇÃO. AF_10/2020</t>
  </si>
  <si>
    <t xml:space="preserve"> 14.1.55 </t>
  </si>
  <si>
    <t xml:space="preserve"> 94478 </t>
  </si>
  <si>
    <t>TÊ, EM FERRO GALVANIZADO, CONEXÃO ROSQUEADA, DN 65 (2 1/2), INSTALADO EM RESERVAÇÃO DE ÁGUA DE EDIFICAÇÃO QUE POSSUA RESERVATÓRIO DE FIBRA/FIBROCIMENTO  FORNECIMENTO E INSTALAÇÃO. AF_06/2016</t>
  </si>
  <si>
    <t xml:space="preserve"> 14.2 </t>
  </si>
  <si>
    <t>CAIXAS E RALOS</t>
  </si>
  <si>
    <t xml:space="preserve"> 14.2.1 </t>
  </si>
  <si>
    <t xml:space="preserve"> 13547 </t>
  </si>
  <si>
    <t>Caixa de gordura simples em plástico na cor preta, 52 Litros</t>
  </si>
  <si>
    <t xml:space="preserve"> 14.2.2 </t>
  </si>
  <si>
    <t xml:space="preserve"> 14.2.3 </t>
  </si>
  <si>
    <t xml:space="preserve"> 053493 </t>
  </si>
  <si>
    <t>CAIXA SIFONADA GIRAFACIL COM GRELHA BRANCA PVC 100x140x50mm</t>
  </si>
  <si>
    <t xml:space="preserve"> 14.2.4 </t>
  </si>
  <si>
    <t xml:space="preserve"> 104326 </t>
  </si>
  <si>
    <t>RALO SECO CÔNICO, PVC, DN 100 X 40 MM, JUNTA SOLDÁVEL, FORNECIDO E INSTALADO EM RAMAL DE DESCARGA OU EM RAMAL DE ESGOTO SANITÁRIO. AF_08/2022</t>
  </si>
  <si>
    <t xml:space="preserve"> 14.2.5 </t>
  </si>
  <si>
    <t xml:space="preserve"> 12897 </t>
  </si>
  <si>
    <t>Ralo seco linear pvc sanitário d=90 com grelha aluminio</t>
  </si>
  <si>
    <t xml:space="preserve"> 14.2.6 </t>
  </si>
  <si>
    <t xml:space="preserve"> C0606 </t>
  </si>
  <si>
    <t>CAIXA DE INSPEÇÃO EM ALVENARIA - TAMPA DE CONCRETO ESP.= 5cm</t>
  </si>
  <si>
    <t xml:space="preserve"> 15 </t>
  </si>
  <si>
    <t>LOUÇAS, ACESSÓRIOS E METAIS</t>
  </si>
  <si>
    <t xml:space="preserve"> 15.1 </t>
  </si>
  <si>
    <t xml:space="preserve"> 15.2 </t>
  </si>
  <si>
    <t xml:space="preserve"> 86888 </t>
  </si>
  <si>
    <t>VASO SANITÁRIO SIFONADO COM CAIXA ACOPLADA LOUÇA BRANCA - FORNECIMENTO E INSTALAÇÃO. AF_01/2020</t>
  </si>
  <si>
    <t xml:space="preserve"> 15.3 </t>
  </si>
  <si>
    <t xml:space="preserve"> 100860 </t>
  </si>
  <si>
    <t>CHUVEIRO ELÉTRICO COMUM CORPO PLÁSTICO, TIPO DUCHA  FORNECIMENTO E INSTALAÇÃO. AF_01/2020</t>
  </si>
  <si>
    <t xml:space="preserve"> 15.4 </t>
  </si>
  <si>
    <t xml:space="preserve"> C0797 </t>
  </si>
  <si>
    <t>CHUVEIRO PLÁSTICO (INSTALADO)</t>
  </si>
  <si>
    <t xml:space="preserve"> 15.5 </t>
  </si>
  <si>
    <t xml:space="preserve"> 190892 </t>
  </si>
  <si>
    <t>CHUVEIRO LAVA-OLHOS DE EMERGENCIA EM ACO INOX ACIONAMENTO C/</t>
  </si>
  <si>
    <t xml:space="preserve"> 15.6 </t>
  </si>
  <si>
    <t xml:space="preserve"> 100858 </t>
  </si>
  <si>
    <t>MICTÓRIO SIFONADO LOUÇA BRANCA  PADRÃO MÉDIO  FORNECIMENTO E INSTALAÇÃO. AF_01/2020</t>
  </si>
  <si>
    <t xml:space="preserve"> 15.7 </t>
  </si>
  <si>
    <t xml:space="preserve"> 86916-MOD. </t>
  </si>
  <si>
    <t>TORNEIRA EM METAL 3/4 PARA JARDIM - FORNECIMENTO E INSTALAÇÃO.</t>
  </si>
  <si>
    <t xml:space="preserve"> 15.8 </t>
  </si>
  <si>
    <t xml:space="preserve"> 86906 </t>
  </si>
  <si>
    <t>TORNEIRA CROMADA DE MESA, 1/2 OU 3/4, PARA LAVATÓRIO, PADRÃO POPULAR - FORNECIMENTO E INSTALAÇÃO. AF_01/2020</t>
  </si>
  <si>
    <t xml:space="preserve"> 15.9 </t>
  </si>
  <si>
    <t xml:space="preserve"> 86919 </t>
  </si>
  <si>
    <t>TANQUE DE LOUÇA BRANCA COM COLUNA, 30L OU EQUIVALENTE, INCLUSO SIFÃO FLEXÍVEL EM PVC, VÁLVULA METÁLICA E TORNEIRA DE METAL CROMADO PADRÃO MÉDIO - FORNECIMENTO E INSTALAÇÃO. AF_01/2020</t>
  </si>
  <si>
    <t xml:space="preserve"> 15.10 </t>
  </si>
  <si>
    <t xml:space="preserve"> 86884 </t>
  </si>
  <si>
    <t>ENGATE FLEXÍVEL EM PLÁSTICO BRANCO, 1/2 X 30CM - FORNECIMENTO E INSTALAÇÃO. AF_01/2020</t>
  </si>
  <si>
    <t xml:space="preserve"> 15.11 </t>
  </si>
  <si>
    <t xml:space="preserve"> 86937 </t>
  </si>
  <si>
    <t>CUBA DE EMBUTIR OVAL EM LOUÇA BRANCA, 35 X 50CM OU EQUIVALENTE, INCLUSO VÁLVULA EM METAL CROMADO E SIFÃO FLEXÍVEL EM PVC - FORNECIMENTO E INSTALAÇÃO. AF_01/2020</t>
  </si>
  <si>
    <t xml:space="preserve"> 15.12 </t>
  </si>
  <si>
    <t xml:space="preserve"> 95544 </t>
  </si>
  <si>
    <t>PAPELEIRA DE PAREDE EM METAL CROMADO SEM TAMPA, INCLUSO FIXAÇÃO. AF_01/2020</t>
  </si>
  <si>
    <t xml:space="preserve"> 15.13 </t>
  </si>
  <si>
    <t xml:space="preserve"> 100868 </t>
  </si>
  <si>
    <t>BARRA DE APOIO RETA, EM ACO INOX POLIDO, COMPRIMENTO 80 CM,  FIXADA NA PAREDE - FORNECIMENTO E INSTALAÇÃO. AF_01/2020</t>
  </si>
  <si>
    <t xml:space="preserve"> 15.14 </t>
  </si>
  <si>
    <t xml:space="preserve"> 100866 </t>
  </si>
  <si>
    <t>BARRA DE APOIO RETA, EM ACO INOX POLIDO, COMPRIMENTO 60CM, FIXADA NA PAREDE - FORNECIMENTO E INSTALAÇÃO. AF_01/2020</t>
  </si>
  <si>
    <t xml:space="preserve"> 15.15 </t>
  </si>
  <si>
    <t xml:space="preserve"> 86900 </t>
  </si>
  <si>
    <t>CUBA DE EMBUTIR RETANGULAR DE AÇO INOXIDÁVEL, 46 X 30 X 12 CM - FORNECIMENTO E INSTALAÇÃO. AF_01/2020</t>
  </si>
  <si>
    <t xml:space="preserve"> 15.16 </t>
  </si>
  <si>
    <t xml:space="preserve"> 86883 </t>
  </si>
  <si>
    <t>SIFÃO DO TIPO FLEXÍVEL EM PVC 1  X 1.1/2  - FORNECIMENTO E INSTALAÇÃO. AF_01/2020</t>
  </si>
  <si>
    <t xml:space="preserve"> 15.17 </t>
  </si>
  <si>
    <t xml:space="preserve"> 9684 </t>
  </si>
  <si>
    <t>Cuba de aço inox 304, dimensões 34 x 56 x 17cm, para instalação em bancada, c/válvula cromada 3 1/2", ref.94024-207, Tramontina ou similar, exclusive sifão, torneira e engate</t>
  </si>
  <si>
    <t xml:space="preserve"> 15.18 </t>
  </si>
  <si>
    <t xml:space="preserve"> 4428 </t>
  </si>
  <si>
    <t>Cuba de aço inox 304, dimensões 80 x 50 x 30cm, e=0,8mm, com válvula cromada,sifão cromado (deca ref c1680), torneira cromada (deca linha c40 ref 1159) e engate de plástico ou similares - Rev 03</t>
  </si>
  <si>
    <t xml:space="preserve"> 15.19 </t>
  </si>
  <si>
    <t xml:space="preserve"> 3694 </t>
  </si>
  <si>
    <t>Torneira cromada para lavatório, ESTEVES, convencional, linha Mônaco VTL 140 (1190), 1/2" ou similar</t>
  </si>
  <si>
    <t xml:space="preserve"> 15.20 </t>
  </si>
  <si>
    <t xml:space="preserve"> 3695 </t>
  </si>
  <si>
    <t>Torneira cromada para pia de cozinha, ESTEVES, de parede, com articulador, linha Mônaco VTP038 (1168), 1/2" ou similar</t>
  </si>
  <si>
    <t xml:space="preserve"> 15.21 </t>
  </si>
  <si>
    <t xml:space="preserve"> C4671 </t>
  </si>
  <si>
    <t>SABONETEIRA METÁLICA</t>
  </si>
  <si>
    <t xml:space="preserve"> 15.22 </t>
  </si>
  <si>
    <t xml:space="preserve"> 95545 </t>
  </si>
  <si>
    <t>SABONETEIRA DE PAREDE EM METAL CROMADO, INCLUSO FIXAÇÃO. AF_01/2020</t>
  </si>
  <si>
    <t xml:space="preserve"> 15.23 </t>
  </si>
  <si>
    <t xml:space="preserve"> 102253 </t>
  </si>
  <si>
    <t>DIVISORIA SANITÁRIA, TIPO CABINE, EM GRANITO CINZA POLIDO, ESP = 3CM, ASSENTADO COM ARGAMASSA COLANTE AC III-E, EXCLUSIVE FERRAGENS. AF_01/2021</t>
  </si>
  <si>
    <t>Quantitativo retirado do projeto arquitetônico</t>
  </si>
  <si>
    <t xml:space="preserve"> 15.24 </t>
  </si>
  <si>
    <t xml:space="preserve"> COMP-013 </t>
  </si>
  <si>
    <t>Bancada de Granito Cinza (Conforme projeto de arquitetura)</t>
  </si>
  <si>
    <t>Bancadas de banheiro e cozinha= 71,75; Prateleiras= 49,37</t>
  </si>
  <si>
    <t xml:space="preserve"> 16 </t>
  </si>
  <si>
    <t>INSTALAÇÃO DE GÁS COMBUSTÍVEL</t>
  </si>
  <si>
    <t xml:space="preserve"> 16.1 </t>
  </si>
  <si>
    <t xml:space="preserve"> 100791 </t>
  </si>
  <si>
    <t>TUBO, PEX, MULTICAMADA, DN 16, INSTALADO EM IMPLANTAÇÃO DE INSTALAÇÕES DE GÁS - FORNECIMENTO E INSTALAÇÃO. AF_01/2020</t>
  </si>
  <si>
    <t xml:space="preserve"> 16.2 </t>
  </si>
  <si>
    <t xml:space="preserve"> 100792 </t>
  </si>
  <si>
    <t>TUBO, PEX, MULTICAMADA, DN 20, INSTALADO EM IMPLANTAÇÃO DE INSTALAÇÕES DE GÁS - FORNECIMENTO E INSTALAÇÃO. AF_01/2020</t>
  </si>
  <si>
    <t xml:space="preserve"> 16.3 </t>
  </si>
  <si>
    <t xml:space="preserve"> 100793 </t>
  </si>
  <si>
    <t>TUBO, PEX, MULTICAMADA, DN 26, INSTALADO EM IMPLANTAÇÃO DE INSTALAÇÕES DE GÁS - FORNECIMENTO E INSTALAÇÃO. AF_01/2020</t>
  </si>
  <si>
    <t xml:space="preserve"> 16.4 </t>
  </si>
  <si>
    <t xml:space="preserve"> 97536 </t>
  </si>
  <si>
    <t>TUBO DE AÇO GALVANIZADO COM COSTURA, CLASSE MÉDIA, CONEXÃO ROSQUEADA, DN 25 (1"), INSTALADO EM RAMAIS  E SUB-RAMAIS DE GÁS - FORNECIMENTO E INSTALAÇÃO. AF_10/2020</t>
  </si>
  <si>
    <t xml:space="preserve"> 16.5 </t>
  </si>
  <si>
    <t xml:space="preserve"> 056895 </t>
  </si>
  <si>
    <t>VALVULA ESFERA PARA GAS ALAVANCA FXF 2.1/2"" EMMETI</t>
  </si>
  <si>
    <t xml:space="preserve"> 16.6 </t>
  </si>
  <si>
    <t xml:space="preserve"> 056099 </t>
  </si>
  <si>
    <t>MANOMETRO PRESSAO GAS GLP</t>
  </si>
  <si>
    <t xml:space="preserve"> 16.7 </t>
  </si>
  <si>
    <t xml:space="preserve"> 13582 </t>
  </si>
  <si>
    <t>Registro esfera borboleta 90°, 1/2" NPT (macho) x 3/8", entrada e saída bico da mangueira, para instalação de gás</t>
  </si>
  <si>
    <t xml:space="preserve"> 16.8 </t>
  </si>
  <si>
    <t xml:space="preserve"> 9092 </t>
  </si>
  <si>
    <t>Regulador de alta pressão, d=28mm, tipo Fisher, classe 300, 1º estágio (instalação gás)</t>
  </si>
  <si>
    <t xml:space="preserve"> 16.9 </t>
  </si>
  <si>
    <t xml:space="preserve"> 9093 </t>
  </si>
  <si>
    <t>Regulador de baixa pressão, d=15mm, tipo Fisher, classe 300, 2º estágio (instalação gás)</t>
  </si>
  <si>
    <t xml:space="preserve"> 16.10 </t>
  </si>
  <si>
    <t xml:space="preserve"> 97547 </t>
  </si>
  <si>
    <t>CURVA 90 GRAUS, EM AÇO, CONEXÃO SOLDADA, DN 15 (1/2"), INSTALADO EM RAMAIS E SUB-RAMAIS DE GÁS - FORNECIMENTO E INSTALAÇÃO. AF_10/2020</t>
  </si>
  <si>
    <t xml:space="preserve"> 16.11 </t>
  </si>
  <si>
    <t xml:space="preserve"> 97549 </t>
  </si>
  <si>
    <t>CURVA 90 GRAUS, EM AÇO, CONEXÃO SOLDADA, DN 20 (3/4"), INSTALADO EM RAMAIS E SUB-RAMAIS DE GÁS - FORNECIMENTO E INSTALAÇÃO. AF_10/2020</t>
  </si>
  <si>
    <t xml:space="preserve"> 16.12 </t>
  </si>
  <si>
    <t xml:space="preserve"> 97551 </t>
  </si>
  <si>
    <t>CURVA 90 GRAUS, EM AÇO, CONEXÃO SOLDADA, DN 25 (1"), INSTALADO EM RAMAIS E SUB-RAMAIS DE GÁS - FORNECIMENTO E INSTALAÇÃO. AF_10/2020</t>
  </si>
  <si>
    <t xml:space="preserve"> 16.13 </t>
  </si>
  <si>
    <t xml:space="preserve"> 103825 </t>
  </si>
  <si>
    <t>CONECTOR EM BRONZE/LATÃO, DN 22 MM X 3/4, SEM ANEL DE SOLDA, BOLSA X ROSCA F, INSTALADO EM RAMAL E SUB-RAMAL DE GÁS COMBUSTÍVEL - FORNECIMENTO E INSTALAÇÃO. AF_04/2022</t>
  </si>
  <si>
    <t xml:space="preserve"> 16.14 </t>
  </si>
  <si>
    <t xml:space="preserve"> 92694 </t>
  </si>
  <si>
    <t>NIPLE, EM FERRO GALVANIZADO, CONEXÃO ROSQUEADA, DN 20 (3/4"), INSTALADO EM RAMAIS E SUB-RAMAIS DE GÁS - FORNECIMENTO E INSTALAÇÃO. AF_10/2020</t>
  </si>
  <si>
    <t xml:space="preserve"> 16.15 </t>
  </si>
  <si>
    <t xml:space="preserve"> 92696 </t>
  </si>
  <si>
    <t>NIPLE, EM FERRO GALVANIZADO, CONEXÃO ROSQUEADA, DN 25 (1"), INSTALADO EM RAMAIS E SUB-RAMAIS DE GÁS - FORNECIMENTO E INSTALAÇÃO. AF_10/2020</t>
  </si>
  <si>
    <t xml:space="preserve"> 16.16 </t>
  </si>
  <si>
    <t xml:space="preserve"> 103832 </t>
  </si>
  <si>
    <t>TÊ EM COBRE, DN 15 MM, SEM ANEL DE SOLDA, INSTALADO EM RAMAL E SUB-RAMAL DE GÁS COMBUSTÍVEL - FORNECIMENTO E INSTALAÇÃO. AF_04/2022</t>
  </si>
  <si>
    <t xml:space="preserve"> 16.17 </t>
  </si>
  <si>
    <t xml:space="preserve"> 103833 </t>
  </si>
  <si>
    <t>TE EM COBRE, DN 22 MM, SEM ANEL DE SOLDA, INSTALADO EM RAMAL E SUB-RAMAL DE GÁS COMBUSTÍVEL - FORNECIMENTO E INSTALAÇÃO. AF_04/2022</t>
  </si>
  <si>
    <t xml:space="preserve"> 16.18 </t>
  </si>
  <si>
    <t xml:space="preserve"> 97554 </t>
  </si>
  <si>
    <t>TÊ, EM AÇO, CONEXÃO SOLDADA, DN 25 (1"), INSTALADO EM RAMAIS E SUB-RAMAIS DE GÁS - FORNECIMENTO E INSTALAÇÃO. AF_10/2020</t>
  </si>
  <si>
    <t xml:space="preserve"> 16.19 </t>
  </si>
  <si>
    <t xml:space="preserve"> 92905 </t>
  </si>
  <si>
    <t>UNIÃO, EM FERRO GALVANIZADO, CONEXÃO ROSQUEADA, DN 20 (3/4"), INSTALADO EM RAMAIS E SUB-RAMAIS DE GÁS - FORNECIMENTO E INSTALAÇÃO. AF_10/2020</t>
  </si>
  <si>
    <t xml:space="preserve"> 16.20 </t>
  </si>
  <si>
    <t xml:space="preserve"> 92906 </t>
  </si>
  <si>
    <t>UNIÃO, EM FERRO GALVANIZADO, CONEXÃO ROSQUEADA, DN 25 (1"), INSTALADO EM RAMAIS E SUB-RAMAIS DE GÁS - FORNECIMENTO E INSTALAÇÃO. AF_10/2020</t>
  </si>
  <si>
    <t xml:space="preserve"> 16.21 </t>
  </si>
  <si>
    <t xml:space="preserve"> 10884 </t>
  </si>
  <si>
    <t>Suporte de parede para coletor de gás</t>
  </si>
  <si>
    <t xml:space="preserve"> 17 </t>
  </si>
  <si>
    <t>SISTEMA DE PROTEÇÃO CONTRA INCÊNDIO</t>
  </si>
  <si>
    <t xml:space="preserve"> 17.1 </t>
  </si>
  <si>
    <t xml:space="preserve"> 101908 </t>
  </si>
  <si>
    <t>EXTINTOR DE INCÊNDIO PORTÁTIL COM CARGA DE PQS DE 4 KG, CLASSE BC - FORNECIMENTO E INSTALAÇÃO. AF_10/2020_PE</t>
  </si>
  <si>
    <t xml:space="preserve"> 17.2 </t>
  </si>
  <si>
    <t xml:space="preserve"> 101910 </t>
  </si>
  <si>
    <t>EXTINTOR DE INCÊNDIO PORTÁTIL COM CARGA DE PQS DE 8 KG, CLASSE BC - FORNECIMENTO E INSTALAÇÃO. AF_10/2020_PE</t>
  </si>
  <si>
    <t xml:space="preserve"> 17.3 </t>
  </si>
  <si>
    <t xml:space="preserve"> 101907 </t>
  </si>
  <si>
    <t>EXTINTOR DE INCÊNDIO PORTÁTIL COM CARGA DE CO2 DE 6 KG, CLASSE BC - FORNECIMENTO E INSTALAÇÃO. AF_10/2020_PE</t>
  </si>
  <si>
    <t xml:space="preserve"> 17.4 </t>
  </si>
  <si>
    <t xml:space="preserve"> 101909 </t>
  </si>
  <si>
    <t>EXTINTOR DE INCÊNDIO PORTÁTIL COM CARGA DE PQS DE 6 KG, CLASSE BC - FORNECIMENTO E INSTALAÇÃO. AF_10/2020_PE</t>
  </si>
  <si>
    <t xml:space="preserve"> 17.5 </t>
  </si>
  <si>
    <t xml:space="preserve"> 1512 </t>
  </si>
  <si>
    <t>Suporte decorativo para extintores - REV 01/2022</t>
  </si>
  <si>
    <t xml:space="preserve"> 17.6 </t>
  </si>
  <si>
    <t xml:space="preserve"> 060418 </t>
  </si>
  <si>
    <t>LUMINARIA LUZ EMERGENCIA LED 1200 LUMENS 2 FAROIS SEGURIMAX</t>
  </si>
  <si>
    <t xml:space="preserve"> 17.7 </t>
  </si>
  <si>
    <t xml:space="preserve"> 97599 </t>
  </si>
  <si>
    <t>LUMINÁRIA DE EMERGÊNCIA, COM 30 LÂMPADAS LED DE 2 W, SEM REATOR - FORNECIMENTO E INSTALAÇÃO. AF_02/2020</t>
  </si>
  <si>
    <t xml:space="preserve"> 17.8 </t>
  </si>
  <si>
    <t xml:space="preserve"> 055035 </t>
  </si>
  <si>
    <t xml:space="preserve">PLACA FOTOLUMINESCENTE SAIDA DE EMERGENCIA PVC 2mm 15x30cm </t>
  </si>
  <si>
    <t xml:space="preserve"> 17.9 </t>
  </si>
  <si>
    <t xml:space="preserve"> 12884 </t>
  </si>
  <si>
    <t>Placa de sinalizacao, fotoluminescente, 38x19 cm, em pvc , com seta indicativa de sentido (esquerda ou direita) de saída de emergência- Placa S2</t>
  </si>
  <si>
    <t xml:space="preserve"> 17.10 </t>
  </si>
  <si>
    <t xml:space="preserve"> 055034 </t>
  </si>
  <si>
    <t xml:space="preserve">PLACA FOTOLUMINESCENTE EXTINTOR INCENDIO PVC 2mm 20x20cm </t>
  </si>
  <si>
    <t xml:space="preserve"> 17.11 </t>
  </si>
  <si>
    <t xml:space="preserve"> 72947 </t>
  </si>
  <si>
    <t>SINALIZACAO HORIZONTAL COM TINTA RETRORREFLETIVA A BASE DE RESINA ACRILICA COM MICROESFERAS DE VIDRO</t>
  </si>
  <si>
    <t xml:space="preserve"> 18 </t>
  </si>
  <si>
    <t>INSTALAÇÃO ELÉTRICA - 220V</t>
  </si>
  <si>
    <t xml:space="preserve"> 18.1 </t>
  </si>
  <si>
    <t>CENTRO DE DISTRIBUIÇÃO</t>
  </si>
  <si>
    <t xml:space="preserve"> 18.1.1 </t>
  </si>
  <si>
    <t xml:space="preserve"> 83397 </t>
  </si>
  <si>
    <t>POSTE DE CONCRETO DUPLO T H=9M CARGA NOMINAL 500KG INCLUSIVE ESCAVACAO, EXCLUSIVE TRANSPORTE - FORNECIMENTO E INSTALACAO</t>
  </si>
  <si>
    <t xml:space="preserve"> 18.1.2 </t>
  </si>
  <si>
    <t xml:space="preserve"> 101507 </t>
  </si>
  <si>
    <t>ENTRADA DE ENERGIA ELÉTRICA, AÉREA, TRIFÁSICA, COM CAIXA DE SOBREPOR, CABO DE 25 MM2 E DISJUNTOR DIN 50A (NÃO INCLUSO O POSTE DE CONCRETO). AF_07/2020_PS</t>
  </si>
  <si>
    <t xml:space="preserve"> 18.1.3 </t>
  </si>
  <si>
    <t xml:space="preserve"> 101879 </t>
  </si>
  <si>
    <t>QUADRO DE DISTRIBUIÇÃO DE ENERGIA EM CHAPA DE AÇO GALVANIZADO, DE EMBUTIR, COM BARRAMENTO TRIFÁSICO, PARA 24 DISJUNTORES DIN 100A - FORNECIMENTO E INSTALAÇÃO. AF_10/2020</t>
  </si>
  <si>
    <t xml:space="preserve"> 18.1.4 </t>
  </si>
  <si>
    <t xml:space="preserve"> 101880 </t>
  </si>
  <si>
    <t>QUADRO DE DISTRIBUIÇÃO DE ENERGIA EM CHAPA DE AÇO GALVANIZADO, DE EMBUTIR, COM BARRAMENTO TRIFÁSICO, PARA 30 DISJUNTORES DIN 150A - FORNECIMENTO E INSTALAÇÃO. AF_10/2020</t>
  </si>
  <si>
    <t xml:space="preserve"> 18.1.5 </t>
  </si>
  <si>
    <t xml:space="preserve"> COMP. - 0015 </t>
  </si>
  <si>
    <t>SUBESTAÇÃO AÉREA DE 150 KVA/13.800-380/220V COM QUADRO DE MEDIÇÃO E PROTEÇÃO GERAL, INCLUSIVE MALHA DE ATERRAMENTO - FORNECIMENTO E INSTALAÇÃO</t>
  </si>
  <si>
    <t xml:space="preserve"> 18.2 </t>
  </si>
  <si>
    <t>DISJUNTORES</t>
  </si>
  <si>
    <t xml:space="preserve"> 18.2.1 </t>
  </si>
  <si>
    <t xml:space="preserve"> 101894 </t>
  </si>
  <si>
    <t>DISJUNTOR TRIPOLAR TIPO NEMA, CORRENTE NOMINAL DE 60 ATÉ 100A - FORNECIMENTO E INSTALAÇÃO. AF_10/2020</t>
  </si>
  <si>
    <t xml:space="preserve"> 18.2.2 </t>
  </si>
  <si>
    <t xml:space="preserve"> 93673 </t>
  </si>
  <si>
    <t>DISJUNTOR TRIPOLAR TIPO DIN, CORRENTE NOMINAL DE 50A - FORNECIMENTO E INSTALAÇÃO. AF_10/2020</t>
  </si>
  <si>
    <t xml:space="preserve"> 18.2.3 </t>
  </si>
  <si>
    <t xml:space="preserve"> 93672 </t>
  </si>
  <si>
    <t>DISJUNTOR TRIPOLAR TIPO DIN, CORRENTE NOMINAL DE 40A - FORNECIMENTO E INSTALAÇÃO. AF_10/2020</t>
  </si>
  <si>
    <t xml:space="preserve"> 18.2.4 </t>
  </si>
  <si>
    <t xml:space="preserve"> 93671 </t>
  </si>
  <si>
    <t>DISJUNTOR TRIPOLAR TIPO DIN, CORRENTE NOMINAL DE 32A - FORNECIMENTO E INSTALAÇÃO. AF_10/2020</t>
  </si>
  <si>
    <t xml:space="preserve"> 18.2.5 </t>
  </si>
  <si>
    <t xml:space="preserve"> 101890 </t>
  </si>
  <si>
    <t>DISJUNTOR MONOPOLAR TIPO NEMA, CORRENTE NOMINAL DE 10 ATÉ 30A - FORNECIMENTO E INSTALAÇÃO. AF_10/2020</t>
  </si>
  <si>
    <t xml:space="preserve"> 18.3 </t>
  </si>
  <si>
    <t>ELETRODUTOS E ACESSÓRIOS</t>
  </si>
  <si>
    <t xml:space="preserve"> 18.3.1 </t>
  </si>
  <si>
    <t xml:space="preserve"> 93010 </t>
  </si>
  <si>
    <t>ELETRODUTO RÍGIDO ROSCÁVEL, PVC, DN 75 MM (2 1/2"), PARA REDE ENTERRADA DE DISTRIBUIÇÃO DE ENERGIA ELÉTRICA - FORNECIMENTO E INSTALAÇÃO. AF_12/2021</t>
  </si>
  <si>
    <t xml:space="preserve"> 18.3.2 </t>
  </si>
  <si>
    <t xml:space="preserve"> 93008 </t>
  </si>
  <si>
    <t>ELETRODUTO RÍGIDO ROSCÁVEL, PVC, DN 50 MM (1 1/2"), PARA REDE ENTERRADA DE DISTRIBUIÇÃO DE ENERGIA ELÉTRICA - FORNECIMENTO E INSTALAÇÃO. AF_12/2021</t>
  </si>
  <si>
    <t xml:space="preserve"> 18.3.3 </t>
  </si>
  <si>
    <t xml:space="preserve"> 91873 </t>
  </si>
  <si>
    <t>ELETRODUTO RÍGIDO ROSCÁVEL, PVC, DN 40 MM (1 1/4"), PARA CIRCUITOS TERMINAIS, INSTALADO EM PAREDE - FORNECIMENTO E INSTALAÇÃO. AF_03/2023</t>
  </si>
  <si>
    <t xml:space="preserve"> 18.3.4 </t>
  </si>
  <si>
    <t xml:space="preserve"> 91872 </t>
  </si>
  <si>
    <t>ELETRODUTO RÍGIDO ROSCÁVEL, PVC, DN 32 MM (1"), PARA CIRCUITOS TERMINAIS, INSTALADO EM PAREDE - FORNECIMENTO E INSTALAÇÃO. AF_03/2023</t>
  </si>
  <si>
    <t xml:space="preserve"> 18.3.5 </t>
  </si>
  <si>
    <t xml:space="preserve"> 91871 </t>
  </si>
  <si>
    <t>ELETRODUTO RÍGIDO ROSCÁVEL, PVC, DN 25 MM (3/4"), PARA CIRCUITOS TERMINAIS, INSTALADO EM PAREDE - FORNECIMENTO E INSTALAÇÃO. AF_03/2023</t>
  </si>
  <si>
    <t xml:space="preserve"> 18.3.6 </t>
  </si>
  <si>
    <t xml:space="preserve"> 91870 </t>
  </si>
  <si>
    <t>ELETRODUTO RÍGIDO ROSCÁVEL, PVC, DN 20 MM (1/2"), PARA CIRCUITOS TERMINAIS, INSTALADO EM PAREDE - FORNECIMENTO E INSTALAÇÃO. AF_03/2023</t>
  </si>
  <si>
    <t xml:space="preserve"> 18.3.7 </t>
  </si>
  <si>
    <t xml:space="preserve"> 93022 </t>
  </si>
  <si>
    <t>CURVA 90 GRAUS PARA ELETRODUTO, PVC, ROSCÁVEL, DN 75 MM (2 1/2"), PARA REDE ENTERRADA DE DISTRIBUIÇÃO DE ENERGIA ELÉTRICA - FORNECIMENTO E INSTALAÇÃO. AF_12/2021</t>
  </si>
  <si>
    <t xml:space="preserve"> 18.3.8 </t>
  </si>
  <si>
    <t xml:space="preserve"> 93018 </t>
  </si>
  <si>
    <t>CURVA 90 GRAUS PARA ELETRODUTO, PVC, ROSCÁVEL, DN 50 MM (1 1/2"), PARA REDE ENTERRADA DE DISTRIBUIÇÃO DE ENERGIA ELÉTRICA - FORNECIMENTO E INSTALAÇÃO. AF_12/2021</t>
  </si>
  <si>
    <t xml:space="preserve"> 18.3.9 </t>
  </si>
  <si>
    <t xml:space="preserve"> 91920 </t>
  </si>
  <si>
    <t>CURVA 90 GRAUS PARA ELETRODUTO, PVC, ROSCÁVEL, DN 40 MM (1 1/4"), PARA CIRCUITOS TERMINAIS, INSTALADA EM PAREDE - FORNECIMENTO E INSTALAÇÃO. AF_03/2023</t>
  </si>
  <si>
    <t xml:space="preserve"> 18.3.10 </t>
  </si>
  <si>
    <t xml:space="preserve"> 91917 </t>
  </si>
  <si>
    <t>CURVA 90 GRAUS PARA ELETRODUTO, PVC, ROSCÁVEL, DN 32 MM (1"), PARA CIRCUITOS TERMINAIS, INSTALADA EM PAREDE - FORNECIMENTO E INSTALAÇÃO. AF_03/2023</t>
  </si>
  <si>
    <t xml:space="preserve"> 18.3.11 </t>
  </si>
  <si>
    <t xml:space="preserve"> 91914 </t>
  </si>
  <si>
    <t>CURVA 90 GRAUS PARA ELETRODUTO, PVC, ROSCÁVEL, DN 25 MM (3/4"), PARA CIRCUITOS TERMINAIS, INSTALADA EM PAREDE - FORNECIMENTO E INSTALAÇÃO. AF_03/2023</t>
  </si>
  <si>
    <t xml:space="preserve"> 18.3.12 </t>
  </si>
  <si>
    <t xml:space="preserve"> 91911 </t>
  </si>
  <si>
    <t>CURVA 90 GRAUS PARA ELETRODUTO, PVC, ROSCÁVEL, DN 20 MM (1/2"), PARA CIRCUITOS TERMINAIS, INSTALADA EM PAREDE - FORNECIMENTO E INSTALAÇÃO. AF_03/2023</t>
  </si>
  <si>
    <t xml:space="preserve"> 18.3.13 </t>
  </si>
  <si>
    <t xml:space="preserve"> 97886 </t>
  </si>
  <si>
    <t>CAIXA ENTERRADA ELÉTRICA RETANGULAR, EM ALVENARIA COM TIJOLOS CERÂMICOS MACIÇOS, FUNDO COM BRITA, DIMENSÕES INTERNAS: 0,3X0,3X0,3 M. AF_12/2020</t>
  </si>
  <si>
    <t xml:space="preserve"> 18.3.14 </t>
  </si>
  <si>
    <t xml:space="preserve"> 91831 </t>
  </si>
  <si>
    <t>ELETRODUTO FLEXÍVEL CORRUGADO, PVC, DN 20 MM (1/2"), PARA CIRCUITOS TERMINAIS, INSTALADO EM FORRO - FORNECIMENTO E INSTALAÇÃO. AF_03/2023</t>
  </si>
  <si>
    <t xml:space="preserve"> 18.3.15 </t>
  </si>
  <si>
    <t xml:space="preserve"> 91853 </t>
  </si>
  <si>
    <t>ELETRODUTO FLEXÍVEL CORRUGADO REFORÇADO, PVC, DN 20 MM (1/2"), PARA CIRCUITOS TERMINAIS, INSTALADO EM PAREDE - FORNECIMENTO E INSTALAÇÃO. AF_03/2023</t>
  </si>
  <si>
    <t xml:space="preserve"> 18.3.16 </t>
  </si>
  <si>
    <t xml:space="preserve"> 91855 </t>
  </si>
  <si>
    <t>ELETRODUTO FLEXÍVEL CORRUGADO REFORÇADO, PVC, DN 25 MM (3/4"), PARA CIRCUITOS TERMINAIS, INSTALADO EM PAREDE - FORNECIMENTO E INSTALAÇÃO. AF_03/2023</t>
  </si>
  <si>
    <t xml:space="preserve"> 18.3.17 </t>
  </si>
  <si>
    <t xml:space="preserve"> 91940 </t>
  </si>
  <si>
    <t>CAIXA RETANGULAR 4" X 2" MÉDIA (1,30 M DO PISO), PVC, INSTALADA EM PAREDE - FORNECIMENTO E INSTALAÇÃO. AF_03/2023</t>
  </si>
  <si>
    <t xml:space="preserve"> 18.3.18 </t>
  </si>
  <si>
    <t xml:space="preserve"> 91943 </t>
  </si>
  <si>
    <t>CAIXA RETANGULAR 4" X 4" MÉDIA (1,30 M DO PISO), PVC, INSTALADA EM PAREDE - FORNECIMENTO E INSTALAÇÃO. AF_03/2023</t>
  </si>
  <si>
    <t xml:space="preserve"> 18.4 </t>
  </si>
  <si>
    <t>CABOS E FIOS (CONDUTORES)</t>
  </si>
  <si>
    <t xml:space="preserve"> 18.4.1 </t>
  </si>
  <si>
    <t xml:space="preserve"> 91925 - MOD. </t>
  </si>
  <si>
    <t>CABO MULTIPOLAR DE COBRE, FLEXIVEL, CLASSE 4 OU 5, ISOLACAO EM HEPR, COBERTURA EM PVC-ST2, ANTICHAMA BWF-B, 0,6/1 KV, 3 CONDUTORES DE 1,5 MM2, PARA CIRCUITOS TERMINAIS - FORNECIMENTO E INSTALAÇÃO.</t>
  </si>
  <si>
    <t xml:space="preserve"> 18.4.2 </t>
  </si>
  <si>
    <t xml:space="preserve"> 91927 - MOD. </t>
  </si>
  <si>
    <t>CABO MULTIPOLAR DE COBRE, FLEXIVEL, CLASSE 4 OU 5, ISOLACAO EM HEPR, COBERTURA EM PVC-ST2, ANTICHAMA BWF-B, 0,6/1 KV, 3 CONDUTORES DE 2,5 MM2, PARA CIRCUITOS TERMINAIS - FORNECIMENTO E INSTALAÇÃO.</t>
  </si>
  <si>
    <t xml:space="preserve"> 18.4.3 </t>
  </si>
  <si>
    <t xml:space="preserve"> 91929 - MOD. </t>
  </si>
  <si>
    <t>CABO MULTIPOLAR DE COBRE, FLEXIVEL, CLASSE 4 OU 5, ISOLACAO EM HEPR, COBERTURA EM PVC-ST2, ANTICHAMA BWF-B, 0,6/1 KV, 3 CONDUTORES DE 4 MM2, PARA CIRCUITOS TERMINAIS - FORNECIMENTO E INSTALAÇÃO.</t>
  </si>
  <si>
    <t xml:space="preserve"> 18.4.4 </t>
  </si>
  <si>
    <t xml:space="preserve"> 91931 - MOD. </t>
  </si>
  <si>
    <t>CABO MULTIPOLAR DE COBRE, FLEXIVEL, CLASSE 4 OU 5, ISOLACAO EM HEPR, COBERTURA EM PVC-ST2, ANTICHAMA BWF-B, 0,6/1 KV, 3 CONDUTORES DE 6 MM2, PARA CIRCUITOS TERMINAIS - FORNECIMENTO E INSTALAÇÃO.</t>
  </si>
  <si>
    <t xml:space="preserve"> 18.4.5 </t>
  </si>
  <si>
    <t xml:space="preserve"> 91935 - MOD. </t>
  </si>
  <si>
    <t>CABO MULTIPOLAR DE COBRE, FLEXIVEL, CLASSE 4 OU 5, ISOLACAO EM HEPR, COBERTURA EM PVC-ST2, ANTICHAMA BWF-B, 0,6/1 KV, 3 CONDUTORES DE 16 MM2, PARA CIRCUITOS TERMINAIS - FORNECIMENTO E INSTALAÇÃO.</t>
  </si>
  <si>
    <t xml:space="preserve"> 18.4.6 </t>
  </si>
  <si>
    <t xml:space="preserve"> 92984 - MOD. </t>
  </si>
  <si>
    <t>CABO MULTIPOLAR DE COBRE, FLEXIVEL, CLASSE 4 OU 5, ISOLACAO EM HEPR, COBERTURA EM PVC-ST2, ANTICHAMA BWF-B, 0,6/1 KV, 3 CONDUTORES DE 25 MM2, PARA CIRCUITOS TERMINAIS - FORNECIMENTO E INSTALAÇÃO.</t>
  </si>
  <si>
    <t xml:space="preserve"> 18.5 </t>
  </si>
  <si>
    <t>ILUMINAÇÃO E TOMADA</t>
  </si>
  <si>
    <t xml:space="preserve"> 18.5.1 </t>
  </si>
  <si>
    <t xml:space="preserve"> 91993 </t>
  </si>
  <si>
    <t>TOMADA ALTA DE EMBUTIR (1 MÓDULO), 2P+T 20 A, INCLUINDO SUPORTE E PLACA - FORNECIMENTO E INSTALAÇÃO. AF_03/2023</t>
  </si>
  <si>
    <t xml:space="preserve"> 18.5.2 </t>
  </si>
  <si>
    <t xml:space="preserve"> 91997 </t>
  </si>
  <si>
    <t>TOMADA MÉDIA DE EMBUTIR (1 MÓDULO), 2P+T 20 A, INCLUINDO SUPORTE E PLACA - FORNECIMENTO E INSTALAÇÃO. AF_03/2023</t>
  </si>
  <si>
    <t xml:space="preserve"> 18.5.3 </t>
  </si>
  <si>
    <t xml:space="preserve"> 92000 </t>
  </si>
  <si>
    <t>TOMADA BAIXA DE EMBUTIR (1 MÓDULO), 2P+T 10 A, INCLUINDO SUPORTE E PLACA - FORNECIMENTO E INSTALAÇÃO. AF_03/2023</t>
  </si>
  <si>
    <t xml:space="preserve"> 18.5.4 </t>
  </si>
  <si>
    <t xml:space="preserve"> 91996 </t>
  </si>
  <si>
    <t>TOMADA MÉDIA DE EMBUTIR (1 MÓDULO), 2P+T 10 A, INCLUINDO SUPORTE E PLACA - FORNECIMENTO E INSTALAÇÃO. AF_03/2023</t>
  </si>
  <si>
    <t xml:space="preserve"> 18.5.5 </t>
  </si>
  <si>
    <t xml:space="preserve"> 92004 </t>
  </si>
  <si>
    <t>TOMADA MÉDIA DE EMBUTIR (2 MÓDULOS), 2P+T 10 A, INCLUINDO SUPORTE E PLACA - FORNECIMENTO E INSTALAÇÃO. AF_03/2023</t>
  </si>
  <si>
    <t xml:space="preserve"> 18.5.6 </t>
  </si>
  <si>
    <t xml:space="preserve"> 92012 </t>
  </si>
  <si>
    <t>TOMADA MÉDIA DE EMBUTIR (3 MÓDULOS), 2P+T 10 A, INCLUINDO SUPORTE E PLACA - FORNECIMENTO E INSTALAÇÃO. AF_03/2023</t>
  </si>
  <si>
    <t xml:space="preserve"> 18.5.7 </t>
  </si>
  <si>
    <t xml:space="preserve"> 91957 </t>
  </si>
  <si>
    <t>INTERRUPTOR SIMPLES (1 MÓDULO) COM INTERRUPTOR PARALELO (1 MÓDULO), 10A/250V, INCLUINDO SUPORTE E PLACA - FORNECIMENTO E INSTALAÇÃO. AF_03/2023</t>
  </si>
  <si>
    <t xml:space="preserve"> 18.5.8 </t>
  </si>
  <si>
    <t xml:space="preserve"> 91959 </t>
  </si>
  <si>
    <t>INTERRUPTOR SIMPLES (2 MÓDULOS), 10A/250V, INCLUINDO SUPORTE E PLACA - FORNECIMENTO E INSTALAÇÃO. AF_03/2023</t>
  </si>
  <si>
    <t xml:space="preserve"> 18.5.9 </t>
  </si>
  <si>
    <t xml:space="preserve"> 91967 </t>
  </si>
  <si>
    <t>INTERRUPTOR SIMPLES (3 MÓDULOS), 10A/250V, INCLUINDO SUPORTE E PLACA - FORNECIMENTO E INSTALAÇÃO. AF_03/2023</t>
  </si>
  <si>
    <t xml:space="preserve"> 18.5.10 </t>
  </si>
  <si>
    <t xml:space="preserve"> 91955 </t>
  </si>
  <si>
    <t>INTERRUPTOR PARALELO (1 MÓDULO), 10A/250V, INCLUINDO SUPORTE E PLACA - FORNECIMENTO E INSTALAÇÃO. AF_03/2023</t>
  </si>
  <si>
    <t xml:space="preserve"> 18.5.11 </t>
  </si>
  <si>
    <t xml:space="preserve"> 91987 </t>
  </si>
  <si>
    <t>CAMPAINHA CIGARRA (1 MÓDULO), 10A/250V, INCLUINDO SUPORTE E PLACA - FORNECIMENTO E INSTALAÇÃO. AF_03/2023</t>
  </si>
  <si>
    <t xml:space="preserve"> 18.5.12 </t>
  </si>
  <si>
    <t xml:space="preserve"> 91985 </t>
  </si>
  <si>
    <t>INTERRUPTOR PULSADOR CAMPAINHA (1 MÓDULO), 10A/250V, INCLUINDO SUPORTE E PLACA - FORNECIMENTO E INSTALAÇÃO. AF_03/2023</t>
  </si>
  <si>
    <t xml:space="preserve"> 18.5.13 </t>
  </si>
  <si>
    <t xml:space="preserve"> 97585 </t>
  </si>
  <si>
    <t>LUMINÁRIA TIPO CALHA, DE SOBREPOR, COM 2 LÂMPADAS TUBULARES FLUORESCENTES DE 18 W, COM REATOR DE PARTIDA RÁPIDA - FORNECIMENTO E INSTALAÇÃO. AF_02/2020</t>
  </si>
  <si>
    <t xml:space="preserve"> 18.5.14 </t>
  </si>
  <si>
    <t xml:space="preserve"> 103782 </t>
  </si>
  <si>
    <t>LUMINÁRIA TIPO PLAFON CIRCULAR, DE SOBREPOR, COM LED DE 12/13 W - FORNECIMENTO E INSTALAÇÃO. AF_03/2022</t>
  </si>
  <si>
    <t xml:space="preserve"> 18.5.15 </t>
  </si>
  <si>
    <t xml:space="preserve"> 97605 </t>
  </si>
  <si>
    <t>LUMINÁRIA ARANDELA TIPO MEIA LUA, DE SOBREPOR, COM 1 LÂMPADA LED DE 6 W, SEM REATOR - FORNECIMENTO E INSTALAÇÃO. AF_02/2020</t>
  </si>
  <si>
    <t xml:space="preserve"> 18.5.16 </t>
  </si>
  <si>
    <t xml:space="preserve"> 12807 </t>
  </si>
  <si>
    <t>Refletor Slim  LED 50W de potência, branco Frio, 6500k, Autovolt, marca G-light ou similar</t>
  </si>
  <si>
    <t xml:space="preserve"> 18.5.17 </t>
  </si>
  <si>
    <t xml:space="preserve"> 12808 </t>
  </si>
  <si>
    <t>Refletor Slim LED 200W de potência, branco Frio, 6500k, Autovolt, marca G-light ou similar</t>
  </si>
  <si>
    <t xml:space="preserve"> 18.5.18 </t>
  </si>
  <si>
    <t xml:space="preserve"> 12903 </t>
  </si>
  <si>
    <t>Poste decorativo 1 pétalas, em aço galvanizado com difusor em vidro transparente temperado, com 3m/4m, inclusive lâmpada de led 50w</t>
  </si>
  <si>
    <t xml:space="preserve"> 18.5.19 </t>
  </si>
  <si>
    <t xml:space="preserve"> 10352 </t>
  </si>
  <si>
    <t>Luminária tipo spot de embutir com lâmpada led 15w</t>
  </si>
  <si>
    <t xml:space="preserve"> 18.5.20 </t>
  </si>
  <si>
    <t xml:space="preserve"> 060042 </t>
  </si>
  <si>
    <t>LUMINARIA COM LAMPADA DE LED MULTIUSO BL29 2X20,5W TASCHIBA</t>
  </si>
  <si>
    <t xml:space="preserve"> 19 </t>
  </si>
  <si>
    <t>INSTALAÇÕES DE CLIMATIZAÇÃO</t>
  </si>
  <si>
    <t xml:space="preserve"> 19.1 </t>
  </si>
  <si>
    <t xml:space="preserve"> 103252 </t>
  </si>
  <si>
    <t>AR CONDICIONADO SPLIT ON/OFF, HI-WALL (PAREDE), 18000 BTUS/H, CICLO QUENTE/FRIO - FORNECIMENTO E INSTALAÇÃO. AF_11/2021_PE</t>
  </si>
  <si>
    <t>Quantitativo dos Ar condicionados extraído do projeto que foi realizado utilizando a metodologia BIM.</t>
  </si>
  <si>
    <t xml:space="preserve"> 19.2 </t>
  </si>
  <si>
    <t xml:space="preserve"> 89865 </t>
  </si>
  <si>
    <t>TUBO, PVC, SOLDÁVEL, DN 25MM, INSTALADO EM DRENO DE AR-CONDICIONADO - FORNECIMENTO E INSTALAÇÃO. AF_08/2022</t>
  </si>
  <si>
    <t xml:space="preserve"> 19.3 </t>
  </si>
  <si>
    <t xml:space="preserve"> 89867 </t>
  </si>
  <si>
    <t>JOELHO 45 GRAUS, PVC, SOLDÁVEL, DN 25MM, INSTALADO EM DRENO DE AR-CONDICIONADO - FORNECIMENTO E INSTALAÇÃO. AF_08/2022</t>
  </si>
  <si>
    <t xml:space="preserve"> 19.4 </t>
  </si>
  <si>
    <t xml:space="preserve"> 89866 </t>
  </si>
  <si>
    <t>JOELHO 90 GRAUS, PVC, SOLDÁVEL, DN 25MM, INSTALADO EM DRENO DE AR-CONDICIONADO - FORNECIMENTO E INSTALAÇÃO. AF_08/2022</t>
  </si>
  <si>
    <t xml:space="preserve"> 20 </t>
  </si>
  <si>
    <t>SISTEMA DE PROTEÇÃO CONTRA DESCARGAS ATMOSFÉRICAS (SPDA)</t>
  </si>
  <si>
    <t xml:space="preserve"> 20.1 </t>
  </si>
  <si>
    <t xml:space="preserve"> 98111 </t>
  </si>
  <si>
    <t>CAIXA DE INSPEÇÃO PARA ATERRAMENTO, CIRCULAR, EM POLIETILENO, DIÂMETRO INTERNO = 0,3 M. AF_12/2020</t>
  </si>
  <si>
    <t xml:space="preserve"> 20.2 </t>
  </si>
  <si>
    <t xml:space="preserve"> 96985 </t>
  </si>
  <si>
    <t>HASTE DE ATERRAMENTO, DIÂMETRO 5/8", COM 3 METROS - FORNECIMENTO E INSTALAÇÃO. AF_08/2023</t>
  </si>
  <si>
    <t xml:space="preserve"> 20.3 </t>
  </si>
  <si>
    <t xml:space="preserve"> 96973 </t>
  </si>
  <si>
    <t>CORDOALHA DE COBRE NU 35 MM², NÃO ENTERRADA, COM ISOLADOR - FORNECIMENTO E INSTALAÇÃO. AF_08/2023</t>
  </si>
  <si>
    <t xml:space="preserve"> 20.4 </t>
  </si>
  <si>
    <t xml:space="preserve"> 96974 </t>
  </si>
  <si>
    <t>CORDOALHA DE COBRE NU 50 MM², NÃO ENTERRADA, COM ISOLADOR - FORNECIMENTO E INSTALAÇÃO. AF_08/2023</t>
  </si>
  <si>
    <t xml:space="preserve"> 20.5 </t>
  </si>
  <si>
    <t xml:space="preserve"> 96989 </t>
  </si>
  <si>
    <t>CAPTOR TIPO FRANKLIN PARA SPDA - FORNECIMENTO E INSTALAÇÃO. AF_08/2023</t>
  </si>
  <si>
    <t xml:space="preserve"> 20.6 </t>
  </si>
  <si>
    <t xml:space="preserve"> 96988 </t>
  </si>
  <si>
    <t>MASTRO 1 ½", COM 3 METROS, PARA SPDA - FORNECIMENTO E INSTALAÇÃO. AF_08/2023</t>
  </si>
  <si>
    <t xml:space="preserve"> 20.7 </t>
  </si>
  <si>
    <t xml:space="preserve"> 96987 </t>
  </si>
  <si>
    <t>BASE METÁLICA PARA MASTRO 1 ½"  PARA SPDA - FORNECIMENTO E INSTALAÇÃO. AF_08/2023</t>
  </si>
  <si>
    <t xml:space="preserve"> 20.8 </t>
  </si>
  <si>
    <t xml:space="preserve"> 078370 </t>
  </si>
  <si>
    <t>TERMINAL AEREO FERRO ZINCADO A FOGO PARA ATERRAMENTO</t>
  </si>
  <si>
    <t xml:space="preserve"> 20.9 </t>
  </si>
  <si>
    <t xml:space="preserve"> 72263 </t>
  </si>
  <si>
    <t>TERMINAL OU CONECTOR DE PRESSAO - PARA CABO 50MM2 - FORNECIMENTO E INSTALACAO</t>
  </si>
  <si>
    <t xml:space="preserve"> 20.10 </t>
  </si>
  <si>
    <t xml:space="preserve"> 11095 </t>
  </si>
  <si>
    <t>Barra chata de aluminio 7/8" x 1/8"</t>
  </si>
  <si>
    <t>para uma largura de 19,05mm, e uma espessura de 4,76mm,  adota-se um valor de 0,81 peso por metro</t>
  </si>
  <si>
    <t xml:space="preserve"> 20.11 </t>
  </si>
  <si>
    <t xml:space="preserve"> 9490 </t>
  </si>
  <si>
    <t>Barra chata de cobre 3/4" x 3/16"</t>
  </si>
  <si>
    <t>kg</t>
  </si>
  <si>
    <t xml:space="preserve"> 21 </t>
  </si>
  <si>
    <t>SERVIÇOS COMPLEMENTARES</t>
  </si>
  <si>
    <t xml:space="preserve"> 21.1 </t>
  </si>
  <si>
    <t>Quadra</t>
  </si>
  <si>
    <t xml:space="preserve"> 21.1.1 </t>
  </si>
  <si>
    <t xml:space="preserve"> 102363-MOD. </t>
  </si>
  <si>
    <t>ALAMBRADO PARA QUADRA POLIESPORTIVA, ESTRUTURADO POR TUBOS DE ACO GALVANIZADO, (MONTANTES COM DIAMETRO, TRAVESSAS E ESCORAS COM DIÂMETRO 2"), TELA DE ARAME GALVANIZADA REVESTIDA EM PVC, QUADRANGULAR / LOSANGULAR, FIO 2,77 MM (12 BWG), BITOLA FINAL = *3,8* MM, MALHA 7,5 X 7,5 CM (EXCETO MURETA). AF_03/2021.</t>
  </si>
  <si>
    <t>FUTMESA E PING-PONG= (6,33*5,00)*3+(20,97*5)+11,86=211,66</t>
  </si>
  <si>
    <t>LATERAL = 29,38*2,08*2=122,22M²; CANTOS =(2,97*2,92)*2*4= 17,32M²; FUNDOS= 16,00*5,00*2=160,00M²</t>
  </si>
  <si>
    <t xml:space="preserve"> 21.1.2 </t>
  </si>
  <si>
    <t>ARQUIBANCADA LATERAL ESQUERDA= (0,65*6*0,2)+(1,10*9,57*0,2)+(1,55*9,57*0,2)=5,93</t>
  </si>
  <si>
    <t>ARQUIBANCADA LATERAL DIREITA= (0,65*30*0,2)+(1,10*30*0,2)+(1,55*30*0,2)=19,80</t>
  </si>
  <si>
    <t>ARQUIBANCADA DO MEIO= (0,65*25,71*0,2)+(1,10*25,71*0,2)+(1,55*25,71*0,2)=16,97</t>
  </si>
  <si>
    <t>FECHAMENTOS LATERAIS= (2,85*1,65*0,2*4)+(1,56*1,65*0,2*2)=3,79</t>
  </si>
  <si>
    <t>ARQUIBANCADA LATERAL ESQUERDA= (0,65*18*0,2)+(1,10*18*0,2)+(1,55*18*0,2)=11,88</t>
  </si>
  <si>
    <t xml:space="preserve"> 21.1.3 </t>
  </si>
  <si>
    <t xml:space="preserve"> 96995 </t>
  </si>
  <si>
    <t>REATERRO MANUAL APILOADO COM SOQUETE. AF_10/2017</t>
  </si>
  <si>
    <t>ARQUIBANCADA LATERAL ESQUERDA=(0,95*1,35*9,57)+(0,55*0,90*9,57)+(0,55*0,45*6)=18,50</t>
  </si>
  <si>
    <t>ARQUIBANCADA LATERAL DIREITA=(0,95*1,35*30)+(0,55*0,90*30)+(0,55*0,45*30)=60,75</t>
  </si>
  <si>
    <t>ARQUIBANCADA LATERAL ESQUERDA=(0,95*1,35*18)+(0,55*0,90*18)+(0,55*0,45*18)=36,45</t>
  </si>
  <si>
    <t xml:space="preserve"> 21.1.4 </t>
  </si>
  <si>
    <t xml:space="preserve"> 92268 </t>
  </si>
  <si>
    <t>FABRICAÇÃO DE FÔRMA PARA LAJES, EM CHAPA DE MADEIRA COMPENSADA PLASTIFICADA, E = 18 MM. AF_09/2020</t>
  </si>
  <si>
    <t>ARQUIBANCADA LATERAL ESQUERDA=(9,57*0,15*2)+(6*0,15)=3,77</t>
  </si>
  <si>
    <t>ARQUIBANCADA LATERAL DIREITA=30*0,15*3=13,50</t>
  </si>
  <si>
    <t>ARQUIBANCADA LATERAL ESQUERDA=18*0,15*3=8,10</t>
  </si>
  <si>
    <t>ARQUIBANCADA DO MEIO=25,71*0,15*3=11,57</t>
  </si>
  <si>
    <t xml:space="preserve"> 21.1.5 </t>
  </si>
  <si>
    <t xml:space="preserve"> 94963 </t>
  </si>
  <si>
    <t>CONCRETO FCK = 15MPA, TRAÇO 1:3,4:3,5 (EM MASSA SECA DE CIMENTO/ AREIA MÉDIA/ BRITA 1) - PREPARO MECÂNICO COM BETONEIRA 400 L. AF_05/2021</t>
  </si>
  <si>
    <t>ARQUIBANCADA LATERAL ESQUERDA=2,25*25,71*0,1)=5,78</t>
  </si>
  <si>
    <t>ARQUIBANCADA LATERAL DIREITA=2,85*30*0,1)=8,55</t>
  </si>
  <si>
    <t>ARQUIBANCADA LATERAL ESQUERDA=2,85*9,57*0,1)=2,73</t>
  </si>
  <si>
    <t>ARQUIBANCADA LATERAL ESQUERDA=2,85*18*0,1)=5,13</t>
  </si>
  <si>
    <t xml:space="preserve"> 21.1.6 </t>
  </si>
  <si>
    <t xml:space="preserve"> 92873 </t>
  </si>
  <si>
    <t>LANÇAMENTO COM USO DE BALDES, ADENSAMENTO E ACABAMENTO DE CONCRETO EM ESTRUTURAS. AF_12/2015</t>
  </si>
  <si>
    <t>ARQUIBANCADA DO MEIO=2,25*25,71*0,1)=5,78</t>
  </si>
  <si>
    <t xml:space="preserve"> 21.1.7 </t>
  </si>
  <si>
    <t>FECHAMENTOS LATERAIS= (2,85*1,65*4)+(1,56*1,65*2)=23,96</t>
  </si>
  <si>
    <t>ARQUIBANCADA LATERAL ESQUERDA=1,35*18=24,30</t>
  </si>
  <si>
    <t>ARQUIBANCADA LATERAL ESQUERDA=1,35*9,57=12,92</t>
  </si>
  <si>
    <t>ARQUIBANCADA LATERAL DIREITA=1,35*30=40,50</t>
  </si>
  <si>
    <t>ARQUIBANCADA DO MEIO=1,35*25,71=34,71</t>
  </si>
  <si>
    <t xml:space="preserve"> 21.1.8 </t>
  </si>
  <si>
    <t xml:space="preserve"> 21.1.9 </t>
  </si>
  <si>
    <t xml:space="preserve"> 21.1.10 </t>
  </si>
  <si>
    <t xml:space="preserve"> 21.2 </t>
  </si>
  <si>
    <t>EXAUSTÃO</t>
  </si>
  <si>
    <t xml:space="preserve"> 21.2.1 </t>
  </si>
  <si>
    <t xml:space="preserve"> 071810 </t>
  </si>
  <si>
    <t>EXAUSTOR CENTRIFUGO LIMIT-LOAD SIMPLES NCL-7004 ARRANJO 4</t>
  </si>
  <si>
    <t>QUANTITATIVO DE ACORDO COM O PROJETO DE EXAUSTÃO PARA COZINHA INDÚSTRIAL</t>
  </si>
  <si>
    <t xml:space="preserve"> 21.2.2 </t>
  </si>
  <si>
    <t xml:space="preserve"> 9020 </t>
  </si>
  <si>
    <t>Coifa em aço inox escovado G-220 AISI 304 liga 18.8, tipo parede, com filtrosinercias, calha coletora de gordura e luminária, dimensões: Larg=4000 x Prof=1200 x alt=450mm</t>
  </si>
  <si>
    <t xml:space="preserve"> 21.2.3 </t>
  </si>
  <si>
    <t xml:space="preserve"> 070531 </t>
  </si>
  <si>
    <t>DAMPER CORTA FOGO + SOLENOIDE 1000x500mm</t>
  </si>
  <si>
    <t xml:space="preserve"> 21.2.4 </t>
  </si>
  <si>
    <t xml:space="preserve"> 073420 </t>
  </si>
  <si>
    <t>DAMPER REGULADOR DE VAZAO LAMINAS PARALELAS 800x400mm</t>
  </si>
  <si>
    <t xml:space="preserve"> 21.2.5 </t>
  </si>
  <si>
    <t xml:space="preserve"> 073401 </t>
  </si>
  <si>
    <t>COIFA EM CHAPA DE ACO GALVANIZADO # 26</t>
  </si>
  <si>
    <t xml:space="preserve"> 21.2.6 </t>
  </si>
  <si>
    <t xml:space="preserve"> 073410 </t>
  </si>
  <si>
    <t>VENTILADOR/EXAUSTOR CENTRIFUGO EM LINHA - D=150 MM, V=560 M3</t>
  </si>
  <si>
    <t xml:space="preserve"> 21.2.7 </t>
  </si>
  <si>
    <t xml:space="preserve"> 070842 </t>
  </si>
  <si>
    <t>DIFUSOR DE AR EM ALUMINIO 4 VIAS 366 x 366mm</t>
  </si>
  <si>
    <t xml:space="preserve"> 21.3 </t>
  </si>
  <si>
    <t>VEGETAÇÃO</t>
  </si>
  <si>
    <t xml:space="preserve"> 21.3.1 </t>
  </si>
  <si>
    <t xml:space="preserve"> 98505 </t>
  </si>
  <si>
    <t>PLANTIO DE FORRAÇÃO. AF_05/2018</t>
  </si>
  <si>
    <t>Jiboia e Singônio</t>
  </si>
  <si>
    <t>Lambari roxo</t>
  </si>
  <si>
    <t>Filodendro Xanadu</t>
  </si>
  <si>
    <t>Maranta Barriga de sapo</t>
  </si>
  <si>
    <t>Filodendro Glorioso</t>
  </si>
  <si>
    <t>Capim do Texas</t>
  </si>
  <si>
    <t xml:space="preserve"> 21.3.2 </t>
  </si>
  <si>
    <t xml:space="preserve"> 98510 </t>
  </si>
  <si>
    <t>PLANTIO DE ÁRVORE ORNAMENTAL COM ALTURA DE MUDA MENOR OU IGUAL A 2,00 M. AF_05/2018</t>
  </si>
  <si>
    <t>Dracena Tricolor</t>
  </si>
  <si>
    <t>Pitanga</t>
  </si>
  <si>
    <t xml:space="preserve"> 21.3.3 </t>
  </si>
  <si>
    <t xml:space="preserve"> 98509 </t>
  </si>
  <si>
    <t>PLANTIO DE ARBUSTO OU  CERCA VIVA. AF_05/2018</t>
  </si>
  <si>
    <t>Hibisco</t>
  </si>
  <si>
    <t>Clorofito</t>
  </si>
  <si>
    <t>Crotón</t>
  </si>
  <si>
    <t xml:space="preserve"> 21.3.4 </t>
  </si>
  <si>
    <t xml:space="preserve"> 98511 </t>
  </si>
  <si>
    <t>PLANTIO DE ÁRVORE ORNAMENTAL COM ALTURA DE MUDA MAIOR QUE 2,00 M E MENOR OU IGUAL A 4,00 M. AF_05/2018</t>
  </si>
  <si>
    <t>Jasmim-manga</t>
  </si>
  <si>
    <t>Mangueira</t>
  </si>
  <si>
    <t>Ipê roxo</t>
  </si>
  <si>
    <t>Flamboyant</t>
  </si>
  <si>
    <t>Ipê amarelo</t>
  </si>
  <si>
    <t xml:space="preserve"> 21.3.5 </t>
  </si>
  <si>
    <t xml:space="preserve"> 98516 </t>
  </si>
  <si>
    <t>PLANTIO DE PALMEIRA COM ALTURA DE MUDA MENOR OU IGUAL A 2,00 M. AF_05/2018</t>
  </si>
  <si>
    <t>Palmeira Rafis ou Ráfia</t>
  </si>
  <si>
    <t>Palmeira Fênix</t>
  </si>
  <si>
    <t>Palmeira Areca Bambu</t>
  </si>
  <si>
    <t xml:space="preserve"> 21.4 </t>
  </si>
  <si>
    <t>GERAL</t>
  </si>
  <si>
    <t xml:space="preserve"> 21.4.1 </t>
  </si>
  <si>
    <t xml:space="preserve"> 10288 </t>
  </si>
  <si>
    <t>Banco simples com assento em madeira, dim:1500x300x387mm, ref, NK1606, da Nilko ou similar</t>
  </si>
  <si>
    <t>Bancos de madeira plástica, localizada na área dos jardins.</t>
  </si>
  <si>
    <t xml:space="preserve"> 21.4.2 </t>
  </si>
  <si>
    <t xml:space="preserve"> COMP-020 </t>
  </si>
  <si>
    <t>CONJUNTO DE MASTRO P/ TRÊS BANDEIRAS E PEDESTAL</t>
  </si>
  <si>
    <t>Conjunto de mastro, localizado na entrada da escola</t>
  </si>
  <si>
    <t xml:space="preserve"> 21.4.3 </t>
  </si>
  <si>
    <t xml:space="preserve"> 7967 </t>
  </si>
  <si>
    <t>Guarda-corpo em tubo de aço inox ø=1 1/2", duplo, com montantes e fechamento em tubo inox ø=1 1/2", h=96cm, c/acabamento polido, p/fixação em piso</t>
  </si>
  <si>
    <t>QUANTITATIVO DE ACORDO COM O PROJETO DE ARQUITETURA</t>
  </si>
  <si>
    <t xml:space="preserve"> 21.4.4 </t>
  </si>
  <si>
    <t xml:space="preserve"> 101094 </t>
  </si>
  <si>
    <t>PISO PODOTÁTIL DE ALERTA OU DIRECIONAL, DE BORRACHA, ASSENTADO SOBRE ARGAMASSA. AF_05/2020</t>
  </si>
  <si>
    <t>Circulação da quadra, refeitório 2, e circulação do vestiário.</t>
  </si>
  <si>
    <t>Circulações internas , pátio,e, refeitório.</t>
  </si>
  <si>
    <t xml:space="preserve"> 21.4.5 </t>
  </si>
  <si>
    <t xml:space="preserve"> 104658 </t>
  </si>
  <si>
    <t>PISO PODOTÁTIL DE ALERTA OU DIRECIONAL, DE CONCRETO, ASSENTADO SOBRE ARGAMASSA. AF_03/2024</t>
  </si>
  <si>
    <t>Acesso do estacionamento de funcionários, calçada de acesso principal térreo, e, calçada da escada do jardim dos fundos.</t>
  </si>
  <si>
    <t xml:space="preserve"> 21.4.6 </t>
  </si>
  <si>
    <t xml:space="preserve"> 3554 </t>
  </si>
  <si>
    <t>Guarda-corpo em tubos de aço galvanizado (altura = 1.00), com barras verticais a cada 1.40m (1 1/2"), barra horizontal intermediária (2 1/2")  e  barra horizontal superior (2 1/2")</t>
  </si>
  <si>
    <t xml:space="preserve"> 21.4.7 </t>
  </si>
  <si>
    <t xml:space="preserve"> 3554-MOD. </t>
  </si>
  <si>
    <t>GUARDA-CORPO EM TUBOS DE AÇO GALVANIZADO (ALTURA 1,10M), COM BARRAS VERTICAIS A CADA 1,00M (2"), BARRA HORIZONTAL SUPERIOR (2"), INTERMEDIÁRIA E INFERIOR (1.1/2") COM FECHAMENTO ENTRE AS BARRAS VERTICAIS EM TELA SOLDADA EM ARAME GALVANIZADO, MALHA 5X5CM - FORNECIMENTO E INSTALAÇÃO.</t>
  </si>
  <si>
    <t xml:space="preserve"> 22 </t>
  </si>
  <si>
    <t>SERVIÇOS FINAIS</t>
  </si>
  <si>
    <t xml:space="preserve"> 22.1 </t>
  </si>
  <si>
    <t xml:space="preserve"> 2450 </t>
  </si>
  <si>
    <t>Limpeza geral</t>
  </si>
  <si>
    <t>LIMPEZA GERAL DE TODA OBRAS, INCLUINDO REMOÇÃO DE ENTULHOS E LAVAGEM DE TODOS OS AMBIENTES</t>
  </si>
  <si>
    <t>Obra:</t>
  </si>
  <si>
    <t xml:space="preserve">
</t>
  </si>
  <si>
    <t>CONSTRUÇÃO DE UMA ESCOLA MUNICIPAL COM 25 SALAS DE AULAS (SISTEMA CONSTRUTITVO CONCRETO-PVC) - LOCALIZADA NA RUA LUIZ PEDRO DA SILVA, S/N - LOTEAMENTO COLORADO, NO MUNICIPIO DE TORITAMA - PE.</t>
  </si>
  <si>
    <t xml:space="preserve">B.D.I.                        </t>
  </si>
  <si>
    <t xml:space="preserve">Encargos Sociais: </t>
  </si>
  <si>
    <t>MEMÓRIA DE CÁLCULO COM VALORES</t>
  </si>
  <si>
    <t>CLEYTON DA SILVA ENGENHARIA – ElRELl.</t>
  </si>
  <si>
    <t>Cleyton da Silva</t>
  </si>
  <si>
    <t>Engenheiro Civil – CREA/ PE: 12814477</t>
  </si>
  <si>
    <t>LOTE II - Elaboração de Projetos</t>
  </si>
  <si>
    <t>Contrato PMT n.º 009/2020</t>
  </si>
  <si>
    <t>LOCAÇÃO POR UM PERÍODO DE 06 (SEIS) MESES REFERENTE AO PERIODO DO CONTRATO</t>
  </si>
  <si>
    <t xml:space="preserve">Total sem BDI = </t>
  </si>
  <si>
    <t xml:space="preserve">Total do BDI = </t>
  </si>
  <si>
    <t xml:space="preserve">Total Geral = </t>
  </si>
  <si>
    <t xml:space="preserve">Tabelas de Referencia:                                                                                                                                                       </t>
  </si>
  <si>
    <t>Não Desonerado: 
Horista: 113,98%
Mensalista: 70,00%</t>
  </si>
  <si>
    <t>Quantidade</t>
  </si>
  <si>
    <t xml:space="preserve"> 7107377 </t>
  </si>
  <si>
    <t>Fornecimento e instalação de reservatório metálico tipo taça de 30.000 litros pintura interna e externa com escada de acesso e base de concreto armado - areia e brita comerciais</t>
  </si>
  <si>
    <t>INSTALAÇÃO DE DOIS RESERVATÓRIO D1 ÁGUA TIPO TAÇA METÁLICO, CONFORME PROJETO.</t>
  </si>
  <si>
    <t xml:space="preserve"> 311 </t>
  </si>
  <si>
    <t>Brita 4 ( 50,0 a 76,0 mm) - incluso frete</t>
  </si>
  <si>
    <t xml:space="preserve"> 4.7.9 </t>
  </si>
  <si>
    <t xml:space="preserve"> 4.7.10 </t>
  </si>
  <si>
    <t xml:space="preserve"> 4.7.11 </t>
  </si>
  <si>
    <t xml:space="preserve"> 4.8.12 </t>
  </si>
  <si>
    <t xml:space="preserve"> 4.8.13 </t>
  </si>
  <si>
    <t xml:space="preserve"> 4.8.14 </t>
  </si>
  <si>
    <t xml:space="preserve"> 4.8.15 </t>
  </si>
  <si>
    <t xml:space="preserve"> PESQUISA DE PREÇO 01 </t>
  </si>
  <si>
    <t>FORNECIMENTO DE MODULOS/PERFIS EM PVC NA COR CINZA, INCLUSIVE ACESSÓRIOS DE ACABAMENTOS, DE ACORDO A NORMA ABNT – NBR 17.077 E EM CONFORMIDADE COM A DIRETRIZ SINAT 004 (MINISTERIO DO DESENVOLVIMENTO REGIONAL).</t>
  </si>
  <si>
    <t xml:space="preserve"> PMT-004 </t>
  </si>
  <si>
    <t>SERVIÇO DE MONTAGEM, TRAVAMENTO E ESCORAMENTO DAS PAREDES E/OU DIVISÓRIA FORMADA POR MODULOS/PERFIS EM PVC, INCLUSIVE ACESSÓRIOS DE ACABAMENTOS, DE ACORDO A NORMA ABNT – NBR 17.077 E EM CONFORMIDADE COM A DIRETRIZ SINAT 004 (MINISTERIO DO DESENVOLVIMENTO REGIONAL).</t>
  </si>
  <si>
    <t xml:space="preserve"> 6.5 </t>
  </si>
  <si>
    <t>igual item.10.1.1</t>
  </si>
  <si>
    <t>NOTA:</t>
  </si>
  <si>
    <t>1 - Os itens destacados com sobreamento, foram os itens que estão com a incidência do BDI DIFERENCIADO (10,89%);</t>
  </si>
  <si>
    <t>SINAPI - 05/2024 - Pernambuco
SBC - 05/2024 - Pernambuco
SICRO3 - 01/2024 - Pernambuco
ORSE - 04/2024 - Sergipe
SEINFRA - 028 - Ceará
COMPESA - 07/2023 - Pernambuco</t>
  </si>
  <si>
    <t>Não Desonerado:     NORMA: 20,60 % DIFERENCIAL: 10,89 %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</si>
</sst>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\ %"/>
  </numFmts>
  <fonts count="21" x14ac:knownFonts="1">
    <font>
      <sz val="11"/>
      <name val="Arial"/>
      <family val="1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name val="Arial"/>
      <family val="1"/>
    </font>
    <font>
      <sz val="10"/>
      <color rgb="FF00000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1"/>
      <name val="Arial"/>
      <family val="1"/>
    </font>
    <font>
      <b/>
      <sz val="14"/>
      <color rgb="FF000000"/>
      <name val="Arial"/>
      <family val="1"/>
    </font>
    <font>
      <sz val="10"/>
      <name val="Arial"/>
      <family val="2"/>
    </font>
    <font>
      <b/>
      <sz val="10"/>
      <name val="Arial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1"/>
      <name val="Arial"/>
      <family val="2"/>
    </font>
    <font>
      <sz val="10"/>
      <color rgb="FFFF0000"/>
      <name val="Arial"/>
      <family val="1"/>
    </font>
    <font>
      <b/>
      <sz val="10"/>
      <color rgb="FFFF0000"/>
      <name val="Arial"/>
      <family val="1"/>
    </font>
    <font>
      <sz val="11"/>
      <color rgb="FFFF0000"/>
      <name val="Arial"/>
      <family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DFF0D8"/>
      </patternFill>
    </fill>
    <fill>
      <patternFill patternType="solid">
        <fgColor rgb="FFF7F3D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rgb="FFFFFFFF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rgb="FFCCCCCC"/>
      </right>
      <top style="medium">
        <color auto="1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medium">
        <color auto="1"/>
      </top>
      <bottom style="thin">
        <color rgb="FFCCCCCC"/>
      </bottom>
      <diagonal/>
    </border>
    <border>
      <left style="thin">
        <color rgb="FFCCCCCC"/>
      </left>
      <right style="medium">
        <color auto="1"/>
      </right>
      <top style="medium">
        <color auto="1"/>
      </top>
      <bottom style="thin">
        <color rgb="FFCCCCCC"/>
      </bottom>
      <diagonal/>
    </border>
    <border>
      <left style="medium">
        <color auto="1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medium">
        <color auto="1"/>
      </right>
      <top style="thin">
        <color rgb="FFCCCCCC"/>
      </top>
      <bottom style="thin">
        <color rgb="FFCCCCCC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99">
    <xf numFmtId="0" fontId="0" fillId="0" borderId="0" xfId="0"/>
    <xf numFmtId="0" fontId="0" fillId="0" borderId="0" xfId="0" applyAlignment="1">
      <alignment vertical="center"/>
    </xf>
    <xf numFmtId="0" fontId="9" fillId="8" borderId="0" xfId="0" applyFont="1" applyFill="1" applyAlignment="1">
      <alignment horizontal="left" vertical="center" wrapText="1"/>
    </xf>
    <xf numFmtId="0" fontId="7" fillId="6" borderId="0" xfId="0" applyFont="1" applyFill="1" applyAlignment="1">
      <alignment horizontal="right" vertical="center" wrapText="1"/>
    </xf>
    <xf numFmtId="43" fontId="7" fillId="6" borderId="0" xfId="1" applyFont="1" applyFill="1" applyAlignment="1">
      <alignment horizontal="right" vertical="center" wrapText="1"/>
    </xf>
    <xf numFmtId="43" fontId="0" fillId="0" borderId="0" xfId="1" applyFont="1" applyAlignment="1">
      <alignment vertical="center"/>
    </xf>
    <xf numFmtId="0" fontId="3" fillId="11" borderId="0" xfId="0" applyFont="1" applyFill="1" applyAlignment="1">
      <alignment horizontal="left" vertical="center" wrapText="1"/>
    </xf>
    <xf numFmtId="0" fontId="14" fillId="11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vertical="center" wrapText="1"/>
    </xf>
    <xf numFmtId="0" fontId="10" fillId="9" borderId="0" xfId="0" applyFont="1" applyFill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2" fillId="10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left" vertical="center" wrapText="1"/>
    </xf>
    <xf numFmtId="4" fontId="2" fillId="10" borderId="1" xfId="0" applyNumberFormat="1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4" fontId="4" fillId="3" borderId="1" xfId="0" applyNumberFormat="1" applyFont="1" applyFill="1" applyBorder="1" applyAlignment="1">
      <alignment horizontal="right" vertical="center" wrapText="1"/>
    </xf>
    <xf numFmtId="0" fontId="5" fillId="11" borderId="0" xfId="0" applyFont="1" applyFill="1" applyAlignment="1">
      <alignment horizontal="center" vertical="center" wrapText="1"/>
    </xf>
    <xf numFmtId="0" fontId="5" fillId="11" borderId="0" xfId="0" applyFont="1" applyFill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4" fontId="4" fillId="4" borderId="1" xfId="0" applyNumberFormat="1" applyFont="1" applyFill="1" applyBorder="1" applyAlignment="1">
      <alignment horizontal="right" vertical="center" wrapText="1"/>
    </xf>
    <xf numFmtId="0" fontId="3" fillId="11" borderId="0" xfId="0" applyFont="1" applyFill="1" applyAlignment="1">
      <alignment horizontal="right" vertical="center" wrapText="1"/>
    </xf>
    <xf numFmtId="43" fontId="3" fillId="11" borderId="0" xfId="1" applyFont="1" applyFill="1" applyAlignment="1">
      <alignment horizontal="left" vertical="center" wrapText="1"/>
    </xf>
    <xf numFmtId="43" fontId="2" fillId="10" borderId="1" xfId="1" applyFont="1" applyFill="1" applyBorder="1" applyAlignment="1">
      <alignment horizontal="right" vertical="center" wrapText="1"/>
    </xf>
    <xf numFmtId="43" fontId="4" fillId="3" borderId="1" xfId="1" applyFont="1" applyFill="1" applyBorder="1" applyAlignment="1">
      <alignment horizontal="right" vertical="center" wrapText="1"/>
    </xf>
    <xf numFmtId="43" fontId="4" fillId="4" borderId="1" xfId="1" applyFont="1" applyFill="1" applyBorder="1" applyAlignment="1">
      <alignment horizontal="right" vertical="center" wrapText="1"/>
    </xf>
    <xf numFmtId="43" fontId="5" fillId="11" borderId="0" xfId="1" applyFont="1" applyFill="1" applyAlignment="1">
      <alignment horizontal="center" vertical="center" wrapText="1"/>
    </xf>
    <xf numFmtId="43" fontId="6" fillId="5" borderId="0" xfId="1" applyFont="1" applyFill="1" applyAlignment="1">
      <alignment horizontal="left" vertical="center" wrapText="1"/>
    </xf>
    <xf numFmtId="0" fontId="1" fillId="12" borderId="2" xfId="0" applyFont="1" applyFill="1" applyBorder="1" applyAlignment="1">
      <alignment horizontal="center" vertical="center" wrapText="1"/>
    </xf>
    <xf numFmtId="0" fontId="1" fillId="12" borderId="2" xfId="0" applyFont="1" applyFill="1" applyBorder="1" applyAlignment="1">
      <alignment horizontal="left" vertical="center" wrapText="1"/>
    </xf>
    <xf numFmtId="43" fontId="1" fillId="12" borderId="2" xfId="1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 vertical="center" wrapText="1"/>
    </xf>
    <xf numFmtId="0" fontId="2" fillId="10" borderId="4" xfId="0" applyFont="1" applyFill="1" applyBorder="1" applyAlignment="1">
      <alignment horizontal="center" vertical="center" wrapText="1"/>
    </xf>
    <xf numFmtId="0" fontId="2" fillId="10" borderId="4" xfId="0" applyFont="1" applyFill="1" applyBorder="1" applyAlignment="1">
      <alignment horizontal="left" vertical="center" wrapText="1"/>
    </xf>
    <xf numFmtId="43" fontId="2" fillId="10" borderId="4" xfId="1" applyFont="1" applyFill="1" applyBorder="1" applyAlignment="1">
      <alignment horizontal="right" vertical="center" wrapText="1"/>
    </xf>
    <xf numFmtId="164" fontId="2" fillId="10" borderId="5" xfId="0" applyNumberFormat="1" applyFont="1" applyFill="1" applyBorder="1" applyAlignment="1">
      <alignment horizontal="right" vertical="center" wrapText="1"/>
    </xf>
    <xf numFmtId="0" fontId="4" fillId="3" borderId="6" xfId="0" applyFont="1" applyFill="1" applyBorder="1" applyAlignment="1">
      <alignment horizontal="center" vertical="center" wrapText="1"/>
    </xf>
    <xf numFmtId="164" fontId="4" fillId="3" borderId="7" xfId="0" applyNumberFormat="1" applyFont="1" applyFill="1" applyBorder="1" applyAlignment="1">
      <alignment horizontal="right" vertical="center" wrapText="1"/>
    </xf>
    <xf numFmtId="0" fontId="2" fillId="10" borderId="6" xfId="0" applyFont="1" applyFill="1" applyBorder="1" applyAlignment="1">
      <alignment horizontal="center" vertical="center" wrapText="1"/>
    </xf>
    <xf numFmtId="164" fontId="2" fillId="10" borderId="7" xfId="0" applyNumberFormat="1" applyFont="1" applyFill="1" applyBorder="1" applyAlignment="1">
      <alignment horizontal="right" vertical="center" wrapText="1"/>
    </xf>
    <xf numFmtId="0" fontId="5" fillId="11" borderId="8" xfId="0" applyFont="1" applyFill="1" applyBorder="1" applyAlignment="1">
      <alignment horizontal="center" vertical="center" wrapText="1"/>
    </xf>
    <xf numFmtId="0" fontId="5" fillId="11" borderId="9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center" vertical="center" wrapText="1"/>
    </xf>
    <xf numFmtId="164" fontId="4" fillId="4" borderId="7" xfId="0" applyNumberFormat="1" applyFont="1" applyFill="1" applyBorder="1" applyAlignment="1">
      <alignment horizontal="right" vertical="center" wrapText="1"/>
    </xf>
    <xf numFmtId="0" fontId="5" fillId="11" borderId="11" xfId="0" applyFont="1" applyFill="1" applyBorder="1" applyAlignment="1">
      <alignment horizontal="left" vertical="center" wrapText="1"/>
    </xf>
    <xf numFmtId="0" fontId="5" fillId="11" borderId="12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11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5" fillId="11" borderId="10" xfId="0" applyFont="1" applyFill="1" applyBorder="1" applyAlignment="1">
      <alignment horizontal="center" vertical="center" wrapText="1"/>
    </xf>
    <xf numFmtId="0" fontId="5" fillId="11" borderId="11" xfId="0" applyFont="1" applyFill="1" applyBorder="1" applyAlignment="1">
      <alignment horizontal="center" vertical="center" wrapText="1"/>
    </xf>
    <xf numFmtId="0" fontId="5" fillId="11" borderId="11" xfId="0" applyFont="1" applyFill="1" applyBorder="1" applyAlignment="1">
      <alignment horizontal="left" vertical="center" wrapText="1"/>
    </xf>
    <xf numFmtId="0" fontId="12" fillId="10" borderId="0" xfId="0" applyFont="1" applyFill="1" applyAlignment="1">
      <alignment horizontal="center" vertical="center"/>
    </xf>
    <xf numFmtId="0" fontId="3" fillId="11" borderId="0" xfId="0" applyFont="1" applyFill="1" applyAlignment="1">
      <alignment horizontal="left" vertical="center" wrapText="1"/>
    </xf>
    <xf numFmtId="0" fontId="13" fillId="11" borderId="0" xfId="0" applyFont="1" applyFill="1" applyAlignment="1">
      <alignment horizontal="left" vertical="center" wrapText="1"/>
    </xf>
    <xf numFmtId="0" fontId="14" fillId="11" borderId="0" xfId="0" applyFont="1" applyFill="1" applyAlignment="1">
      <alignment horizontal="left" vertical="center" wrapText="1"/>
    </xf>
    <xf numFmtId="44" fontId="0" fillId="0" borderId="0" xfId="2" applyFont="1" applyAlignment="1">
      <alignment vertical="center"/>
    </xf>
    <xf numFmtId="44" fontId="3" fillId="11" borderId="0" xfId="2" applyFont="1" applyFill="1" applyAlignment="1">
      <alignment vertical="center" wrapText="1"/>
    </xf>
    <xf numFmtId="44" fontId="3" fillId="11" borderId="0" xfId="2" applyFont="1" applyFill="1" applyAlignment="1">
      <alignment horizontal="left" vertical="center" wrapText="1"/>
    </xf>
    <xf numFmtId="44" fontId="14" fillId="11" borderId="0" xfId="2" applyFont="1" applyFill="1" applyAlignment="1">
      <alignment vertical="center" wrapText="1"/>
    </xf>
    <xf numFmtId="44" fontId="14" fillId="11" borderId="0" xfId="2" applyFont="1" applyFill="1" applyAlignment="1">
      <alignment horizontal="left" vertical="center"/>
    </xf>
    <xf numFmtId="44" fontId="1" fillId="12" borderId="2" xfId="2" applyFont="1" applyFill="1" applyBorder="1" applyAlignment="1">
      <alignment horizontal="center" vertical="center" wrapText="1"/>
    </xf>
    <xf numFmtId="44" fontId="2" fillId="10" borderId="1" xfId="2" applyFont="1" applyFill="1" applyBorder="1" applyAlignment="1">
      <alignment horizontal="left" vertical="center" wrapText="1"/>
    </xf>
    <xf numFmtId="44" fontId="4" fillId="3" borderId="1" xfId="2" applyFont="1" applyFill="1" applyBorder="1" applyAlignment="1">
      <alignment horizontal="right" vertical="center" wrapText="1"/>
    </xf>
    <xf numFmtId="44" fontId="4" fillId="4" borderId="1" xfId="2" applyFont="1" applyFill="1" applyBorder="1" applyAlignment="1">
      <alignment horizontal="right" vertical="center" wrapText="1"/>
    </xf>
    <xf numFmtId="44" fontId="5" fillId="11" borderId="0" xfId="2" applyFont="1" applyFill="1" applyAlignment="1">
      <alignment horizontal="center" vertical="center" wrapText="1"/>
    </xf>
    <xf numFmtId="44" fontId="7" fillId="6" borderId="0" xfId="2" applyFont="1" applyFill="1" applyAlignment="1">
      <alignment horizontal="right" vertical="center" wrapText="1"/>
    </xf>
    <xf numFmtId="44" fontId="8" fillId="7" borderId="0" xfId="2" applyFont="1" applyFill="1" applyAlignment="1">
      <alignment horizontal="right" vertical="center" wrapText="1"/>
    </xf>
    <xf numFmtId="44" fontId="2" fillId="10" borderId="1" xfId="2" applyFont="1" applyFill="1" applyBorder="1" applyAlignment="1">
      <alignment horizontal="right" vertical="center" wrapText="1"/>
    </xf>
    <xf numFmtId="0" fontId="20" fillId="0" borderId="0" xfId="0" applyFont="1" applyAlignment="1">
      <alignment vertical="center"/>
    </xf>
    <xf numFmtId="4" fontId="3" fillId="11" borderId="0" xfId="0" applyNumberFormat="1" applyFont="1" applyFill="1" applyAlignment="1">
      <alignment horizontal="right" vertical="center" wrapText="1"/>
    </xf>
    <xf numFmtId="0" fontId="3" fillId="11" borderId="13" xfId="0" applyFont="1" applyFill="1" applyBorder="1" applyAlignment="1">
      <alignment horizontal="right" vertical="center" wrapText="1"/>
    </xf>
    <xf numFmtId="0" fontId="3" fillId="11" borderId="14" xfId="0" applyFont="1" applyFill="1" applyBorder="1" applyAlignment="1">
      <alignment horizontal="right" vertical="center" wrapText="1"/>
    </xf>
    <xf numFmtId="0" fontId="5" fillId="11" borderId="14" xfId="0" applyFont="1" applyFill="1" applyBorder="1" applyAlignment="1">
      <alignment horizontal="left" vertical="center" wrapText="1"/>
    </xf>
    <xf numFmtId="0" fontId="3" fillId="11" borderId="14" xfId="0" applyFont="1" applyFill="1" applyBorder="1" applyAlignment="1">
      <alignment horizontal="right" vertical="center" wrapText="1"/>
    </xf>
    <xf numFmtId="44" fontId="3" fillId="11" borderId="14" xfId="2" applyFont="1" applyFill="1" applyBorder="1" applyAlignment="1">
      <alignment horizontal="center" vertical="center" wrapText="1"/>
    </xf>
    <xf numFmtId="0" fontId="3" fillId="11" borderId="15" xfId="0" applyFont="1" applyFill="1" applyBorder="1" applyAlignment="1">
      <alignment vertical="center" wrapText="1"/>
    </xf>
    <xf numFmtId="44" fontId="2" fillId="10" borderId="4" xfId="2" applyFont="1" applyFill="1" applyBorder="1" applyAlignment="1">
      <alignment horizontal="left" vertical="center" wrapText="1"/>
    </xf>
    <xf numFmtId="44" fontId="2" fillId="10" borderId="4" xfId="2" applyFont="1" applyFill="1" applyBorder="1" applyAlignment="1">
      <alignment horizontal="right" vertical="center" wrapText="1"/>
    </xf>
    <xf numFmtId="0" fontId="5" fillId="11" borderId="0" xfId="0" applyFont="1" applyFill="1" applyBorder="1" applyAlignment="1">
      <alignment horizontal="center" vertical="center" wrapText="1"/>
    </xf>
    <xf numFmtId="0" fontId="5" fillId="11" borderId="0" xfId="0" applyFont="1" applyFill="1" applyBorder="1" applyAlignment="1">
      <alignment horizontal="left" vertical="center" wrapText="1"/>
    </xf>
    <xf numFmtId="0" fontId="5" fillId="11" borderId="0" xfId="0" applyFont="1" applyFill="1" applyBorder="1" applyAlignment="1">
      <alignment horizontal="left" vertical="center" wrapText="1"/>
    </xf>
    <xf numFmtId="44" fontId="5" fillId="11" borderId="0" xfId="2" applyFont="1" applyFill="1" applyBorder="1" applyAlignment="1">
      <alignment horizontal="left" vertical="center" wrapText="1"/>
    </xf>
    <xf numFmtId="0" fontId="5" fillId="11" borderId="0" xfId="0" applyFont="1" applyFill="1" applyBorder="1" applyAlignment="1">
      <alignment horizontal="right" vertical="center" wrapText="1"/>
    </xf>
    <xf numFmtId="43" fontId="3" fillId="11" borderId="0" xfId="1" applyFont="1" applyFill="1" applyBorder="1" applyAlignment="1">
      <alignment horizontal="right" vertical="center" wrapText="1"/>
    </xf>
    <xf numFmtId="0" fontId="18" fillId="11" borderId="8" xfId="0" applyFont="1" applyFill="1" applyBorder="1" applyAlignment="1">
      <alignment horizontal="center" vertical="center" wrapText="1"/>
    </xf>
    <xf numFmtId="0" fontId="18" fillId="11" borderId="0" xfId="0" applyFont="1" applyFill="1" applyBorder="1" applyAlignment="1">
      <alignment horizontal="center" vertical="center" wrapText="1"/>
    </xf>
    <xf numFmtId="0" fontId="18" fillId="11" borderId="0" xfId="0" applyFont="1" applyFill="1" applyBorder="1" applyAlignment="1">
      <alignment horizontal="left" vertical="center" wrapText="1"/>
    </xf>
    <xf numFmtId="0" fontId="18" fillId="11" borderId="0" xfId="0" applyFont="1" applyFill="1" applyBorder="1" applyAlignment="1">
      <alignment horizontal="left" vertical="center" wrapText="1"/>
    </xf>
    <xf numFmtId="43" fontId="19" fillId="11" borderId="0" xfId="1" applyFont="1" applyFill="1" applyBorder="1" applyAlignment="1">
      <alignment horizontal="right" vertical="center" wrapText="1"/>
    </xf>
    <xf numFmtId="0" fontId="18" fillId="11" borderId="9" xfId="0" applyFont="1" applyFill="1" applyBorder="1" applyAlignment="1">
      <alignment horizontal="left" vertical="center" wrapText="1"/>
    </xf>
    <xf numFmtId="43" fontId="3" fillId="11" borderId="11" xfId="1" applyFont="1" applyFill="1" applyBorder="1" applyAlignment="1">
      <alignment horizontal="right" vertical="center" wrapText="1"/>
    </xf>
    <xf numFmtId="0" fontId="13" fillId="11" borderId="0" xfId="0" applyFont="1" applyFill="1" applyAlignment="1">
      <alignment horizontal="left" vertical="top" wrapText="1"/>
    </xf>
    <xf numFmtId="44" fontId="13" fillId="11" borderId="0" xfId="2" applyFont="1" applyFill="1" applyAlignment="1">
      <alignment vertical="center" wrapText="1"/>
    </xf>
    <xf numFmtId="44" fontId="13" fillId="11" borderId="0" xfId="2" applyFont="1" applyFill="1" applyAlignment="1">
      <alignment horizontal="left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014"/>
  <sheetViews>
    <sheetView tabSelected="1" showOutlineSymbols="0" showWhiteSpace="0" zoomScaleNormal="100" workbookViewId="0">
      <selection activeCell="G8" sqref="G8"/>
    </sheetView>
  </sheetViews>
  <sheetFormatPr defaultColWidth="8.69921875" defaultRowHeight="13.8" x14ac:dyDescent="0.25"/>
  <cols>
    <col min="1" max="2" width="10" style="1" bestFit="1" customWidth="1"/>
    <col min="3" max="3" width="9.19921875" style="1" customWidth="1"/>
    <col min="4" max="4" width="60" style="1" bestFit="1" customWidth="1"/>
    <col min="5" max="5" width="8" style="5" bestFit="1" customWidth="1"/>
    <col min="6" max="6" width="13" style="5" bestFit="1" customWidth="1"/>
    <col min="7" max="7" width="13.09765625" style="60" bestFit="1" customWidth="1"/>
    <col min="8" max="8" width="15.09765625" style="60" bestFit="1" customWidth="1"/>
    <col min="9" max="9" width="13" style="1" bestFit="1" customWidth="1"/>
    <col min="10" max="10" width="11.59765625" style="1" customWidth="1"/>
    <col min="11" max="16384" width="8.69921875" style="1"/>
  </cols>
  <sheetData>
    <row r="1" spans="1:10" x14ac:dyDescent="0.25">
      <c r="E1" s="1"/>
    </row>
    <row r="2" spans="1:10" ht="17.399999999999999" x14ac:dyDescent="0.25">
      <c r="A2" s="56" t="s">
        <v>1899</v>
      </c>
      <c r="B2" s="56"/>
      <c r="C2" s="56"/>
      <c r="D2" s="56"/>
      <c r="E2" s="56"/>
      <c r="F2" s="56"/>
      <c r="G2" s="56"/>
      <c r="H2" s="56"/>
      <c r="I2" s="56"/>
      <c r="J2" s="56"/>
    </row>
    <row r="3" spans="1:10" x14ac:dyDescent="0.25">
      <c r="E3" s="1"/>
    </row>
    <row r="4" spans="1:10" x14ac:dyDescent="0.25">
      <c r="A4" s="6" t="s">
        <v>1894</v>
      </c>
      <c r="B4" s="6"/>
      <c r="C4" s="6"/>
      <c r="D4" s="6"/>
      <c r="E4" s="57" t="s">
        <v>1895</v>
      </c>
      <c r="F4" s="57"/>
      <c r="H4" s="61"/>
      <c r="I4" s="57"/>
      <c r="J4" s="57"/>
    </row>
    <row r="5" spans="1:10" ht="35.4" customHeight="1" x14ac:dyDescent="0.25">
      <c r="A5" s="58" t="s">
        <v>1896</v>
      </c>
      <c r="B5" s="58"/>
      <c r="C5" s="58"/>
      <c r="D5" s="58"/>
      <c r="E5" s="58"/>
      <c r="F5" s="58"/>
      <c r="G5" s="58"/>
      <c r="H5" s="58"/>
      <c r="I5" s="58"/>
      <c r="J5" s="58"/>
    </row>
    <row r="6" spans="1:10" x14ac:dyDescent="0.25">
      <c r="A6" s="6"/>
      <c r="B6" s="6"/>
      <c r="C6" s="6"/>
      <c r="D6" s="6"/>
      <c r="E6" s="6"/>
      <c r="F6" s="25"/>
      <c r="H6" s="62"/>
      <c r="I6" s="6"/>
      <c r="J6" s="6"/>
    </row>
    <row r="7" spans="1:10" x14ac:dyDescent="0.25">
      <c r="A7" s="59" t="s">
        <v>1909</v>
      </c>
      <c r="B7" s="59"/>
      <c r="C7" s="59"/>
      <c r="D7" s="59"/>
      <c r="E7" s="59" t="s">
        <v>1897</v>
      </c>
      <c r="F7" s="59"/>
      <c r="G7" s="63"/>
      <c r="H7" s="64"/>
      <c r="I7" s="59" t="s">
        <v>1898</v>
      </c>
      <c r="J7" s="59"/>
    </row>
    <row r="8" spans="1:10" ht="82.2" customHeight="1" x14ac:dyDescent="0.25">
      <c r="A8" s="58" t="s">
        <v>1932</v>
      </c>
      <c r="B8" s="59"/>
      <c r="C8" s="59"/>
      <c r="D8" s="7"/>
      <c r="E8" s="96" t="s">
        <v>1933</v>
      </c>
      <c r="F8" s="96"/>
      <c r="G8" s="97"/>
      <c r="H8" s="98"/>
      <c r="I8" s="96" t="s">
        <v>1910</v>
      </c>
      <c r="J8" s="96"/>
    </row>
    <row r="9" spans="1:10" ht="13.95" customHeight="1" thickBot="1" x14ac:dyDescent="0.3">
      <c r="A9" s="8"/>
      <c r="E9" s="1"/>
    </row>
    <row r="10" spans="1:10" ht="28.2" thickBot="1" x14ac:dyDescent="0.3">
      <c r="A10" s="31" t="s">
        <v>0</v>
      </c>
      <c r="B10" s="31" t="s">
        <v>1</v>
      </c>
      <c r="C10" s="31" t="s">
        <v>2</v>
      </c>
      <c r="D10" s="32" t="s">
        <v>3</v>
      </c>
      <c r="E10" s="31" t="s">
        <v>4</v>
      </c>
      <c r="F10" s="33" t="s">
        <v>5</v>
      </c>
      <c r="G10" s="65" t="s">
        <v>6</v>
      </c>
      <c r="H10" s="65" t="s">
        <v>7</v>
      </c>
      <c r="I10" s="31" t="s">
        <v>8</v>
      </c>
      <c r="J10" s="31" t="s">
        <v>9</v>
      </c>
    </row>
    <row r="11" spans="1:10" x14ac:dyDescent="0.25">
      <c r="A11" s="34" t="s">
        <v>10</v>
      </c>
      <c r="B11" s="35"/>
      <c r="C11" s="35"/>
      <c r="D11" s="36" t="s">
        <v>11</v>
      </c>
      <c r="E11" s="36"/>
      <c r="F11" s="37">
        <v>1</v>
      </c>
      <c r="G11" s="81"/>
      <c r="H11" s="81"/>
      <c r="I11" s="82">
        <v>504705.64</v>
      </c>
      <c r="J11" s="38">
        <v>2.8835188172221596E-2</v>
      </c>
    </row>
    <row r="12" spans="1:10" ht="26.4" x14ac:dyDescent="0.25">
      <c r="A12" s="39" t="s">
        <v>12</v>
      </c>
      <c r="B12" s="16" t="s">
        <v>13</v>
      </c>
      <c r="C12" s="16" t="s">
        <v>14</v>
      </c>
      <c r="D12" s="17" t="s">
        <v>15</v>
      </c>
      <c r="E12" s="16" t="s">
        <v>16</v>
      </c>
      <c r="F12" s="27">
        <v>1</v>
      </c>
      <c r="G12" s="67">
        <v>418495.56</v>
      </c>
      <c r="H12" s="67">
        <v>504705.64</v>
      </c>
      <c r="I12" s="67">
        <v>504705.64</v>
      </c>
      <c r="J12" s="40">
        <v>2.8835188172221596E-2</v>
      </c>
    </row>
    <row r="13" spans="1:10" x14ac:dyDescent="0.25">
      <c r="A13" s="41" t="s">
        <v>17</v>
      </c>
      <c r="B13" s="13"/>
      <c r="C13" s="13"/>
      <c r="D13" s="14" t="s">
        <v>18</v>
      </c>
      <c r="E13" s="14"/>
      <c r="F13" s="26">
        <v>1</v>
      </c>
      <c r="G13" s="66"/>
      <c r="H13" s="66"/>
      <c r="I13" s="72">
        <v>175188.43</v>
      </c>
      <c r="J13" s="42">
        <v>1.0008985325874447E-2</v>
      </c>
    </row>
    <row r="14" spans="1:10" ht="26.4" x14ac:dyDescent="0.25">
      <c r="A14" s="39" t="s">
        <v>19</v>
      </c>
      <c r="B14" s="16" t="s">
        <v>20</v>
      </c>
      <c r="C14" s="16" t="s">
        <v>21</v>
      </c>
      <c r="D14" s="17" t="s">
        <v>22</v>
      </c>
      <c r="E14" s="16" t="s">
        <v>23</v>
      </c>
      <c r="F14" s="27">
        <v>6</v>
      </c>
      <c r="G14" s="67">
        <v>310.75</v>
      </c>
      <c r="H14" s="67">
        <v>374.76</v>
      </c>
      <c r="I14" s="67">
        <v>2248.56</v>
      </c>
      <c r="J14" s="40">
        <v>1.2846626940117133E-4</v>
      </c>
    </row>
    <row r="15" spans="1:10" x14ac:dyDescent="0.25">
      <c r="A15" s="43" t="s">
        <v>24</v>
      </c>
      <c r="B15" s="83"/>
      <c r="C15" s="83"/>
      <c r="D15" s="84" t="s">
        <v>3</v>
      </c>
      <c r="E15" s="85" t="s">
        <v>25</v>
      </c>
      <c r="F15" s="85"/>
      <c r="G15" s="85"/>
      <c r="H15" s="86"/>
      <c r="I15" s="87" t="s">
        <v>1911</v>
      </c>
      <c r="J15" s="44"/>
    </row>
    <row r="16" spans="1:10" x14ac:dyDescent="0.25">
      <c r="A16" s="51"/>
      <c r="B16" s="83"/>
      <c r="C16" s="83"/>
      <c r="D16" s="84" t="s">
        <v>26</v>
      </c>
      <c r="E16" s="85">
        <f>3*2</f>
        <v>6</v>
      </c>
      <c r="F16" s="85"/>
      <c r="G16" s="85"/>
      <c r="H16" s="85"/>
      <c r="I16" s="88">
        <v>6</v>
      </c>
      <c r="J16" s="44" t="s">
        <v>27</v>
      </c>
    </row>
    <row r="17" spans="1:10" ht="39.6" x14ac:dyDescent="0.25">
      <c r="A17" s="39" t="s">
        <v>28</v>
      </c>
      <c r="B17" s="16" t="s">
        <v>29</v>
      </c>
      <c r="C17" s="16" t="s">
        <v>21</v>
      </c>
      <c r="D17" s="17" t="s">
        <v>30</v>
      </c>
      <c r="E17" s="16" t="s">
        <v>23</v>
      </c>
      <c r="F17" s="27">
        <v>9611.4699999999993</v>
      </c>
      <c r="G17" s="67">
        <v>0.41</v>
      </c>
      <c r="H17" s="67">
        <v>0.49</v>
      </c>
      <c r="I17" s="18">
        <v>4709.62</v>
      </c>
      <c r="J17" s="40">
        <v>2.6907323429089928E-4</v>
      </c>
    </row>
    <row r="18" spans="1:10" x14ac:dyDescent="0.25">
      <c r="A18" s="43" t="s">
        <v>24</v>
      </c>
      <c r="B18" s="83"/>
      <c r="C18" s="83"/>
      <c r="D18" s="84" t="s">
        <v>3</v>
      </c>
      <c r="E18" s="85" t="s">
        <v>25</v>
      </c>
      <c r="F18" s="85"/>
      <c r="G18" s="85"/>
      <c r="H18" s="86"/>
      <c r="I18" s="87" t="s">
        <v>1911</v>
      </c>
      <c r="J18" s="44"/>
    </row>
    <row r="19" spans="1:10" ht="26.4" x14ac:dyDescent="0.25">
      <c r="A19" s="51"/>
      <c r="B19" s="83"/>
      <c r="C19" s="83"/>
      <c r="D19" s="84" t="s">
        <v>31</v>
      </c>
      <c r="E19" s="85">
        <f>9611.47</f>
        <v>9611.4699999999993</v>
      </c>
      <c r="F19" s="85"/>
      <c r="G19" s="85"/>
      <c r="H19" s="85"/>
      <c r="I19" s="88">
        <v>9611.4699999999993</v>
      </c>
      <c r="J19" s="44" t="s">
        <v>27</v>
      </c>
    </row>
    <row r="20" spans="1:10" x14ac:dyDescent="0.25">
      <c r="A20" s="39" t="s">
        <v>32</v>
      </c>
      <c r="B20" s="16" t="s">
        <v>33</v>
      </c>
      <c r="C20" s="16" t="s">
        <v>21</v>
      </c>
      <c r="D20" s="17" t="s">
        <v>34</v>
      </c>
      <c r="E20" s="16" t="s">
        <v>23</v>
      </c>
      <c r="F20" s="27">
        <v>768.4</v>
      </c>
      <c r="G20" s="67">
        <v>113.02</v>
      </c>
      <c r="H20" s="67">
        <v>136.30000000000001</v>
      </c>
      <c r="I20" s="18">
        <v>104732.92</v>
      </c>
      <c r="J20" s="40">
        <v>5.9836728910464144E-3</v>
      </c>
    </row>
    <row r="21" spans="1:10" x14ac:dyDescent="0.25">
      <c r="A21" s="43" t="s">
        <v>24</v>
      </c>
      <c r="B21" s="83"/>
      <c r="C21" s="83"/>
      <c r="D21" s="84" t="s">
        <v>3</v>
      </c>
      <c r="E21" s="85" t="s">
        <v>25</v>
      </c>
      <c r="F21" s="85"/>
      <c r="G21" s="85"/>
      <c r="H21" s="86"/>
      <c r="I21" s="87" t="s">
        <v>1911</v>
      </c>
      <c r="J21" s="44"/>
    </row>
    <row r="22" spans="1:10" ht="26.4" x14ac:dyDescent="0.25">
      <c r="A22" s="51"/>
      <c r="B22" s="83"/>
      <c r="C22" s="83"/>
      <c r="D22" s="84" t="s">
        <v>35</v>
      </c>
      <c r="E22" s="85">
        <f>768.4</f>
        <v>768.4</v>
      </c>
      <c r="F22" s="85"/>
      <c r="G22" s="85"/>
      <c r="H22" s="85"/>
      <c r="I22" s="88">
        <v>768.4</v>
      </c>
      <c r="J22" s="44" t="s">
        <v>27</v>
      </c>
    </row>
    <row r="23" spans="1:10" x14ac:dyDescent="0.25">
      <c r="A23" s="39" t="s">
        <v>36</v>
      </c>
      <c r="B23" s="16" t="s">
        <v>37</v>
      </c>
      <c r="C23" s="16" t="s">
        <v>14</v>
      </c>
      <c r="D23" s="17" t="s">
        <v>38</v>
      </c>
      <c r="E23" s="16" t="s">
        <v>39</v>
      </c>
      <c r="F23" s="27">
        <v>1</v>
      </c>
      <c r="G23" s="67">
        <v>1509.76</v>
      </c>
      <c r="H23" s="67">
        <v>1820.77</v>
      </c>
      <c r="I23" s="18">
        <v>1820.77</v>
      </c>
      <c r="J23" s="40">
        <v>1.040254782338789E-4</v>
      </c>
    </row>
    <row r="24" spans="1:10" x14ac:dyDescent="0.25">
      <c r="A24" s="43" t="s">
        <v>24</v>
      </c>
      <c r="B24" s="83"/>
      <c r="C24" s="83"/>
      <c r="D24" s="84" t="s">
        <v>3</v>
      </c>
      <c r="E24" s="85" t="s">
        <v>25</v>
      </c>
      <c r="F24" s="85"/>
      <c r="G24" s="85"/>
      <c r="H24" s="86"/>
      <c r="I24" s="87" t="s">
        <v>1911</v>
      </c>
      <c r="J24" s="44"/>
    </row>
    <row r="25" spans="1:10" x14ac:dyDescent="0.25">
      <c r="A25" s="51"/>
      <c r="B25" s="83"/>
      <c r="C25" s="83"/>
      <c r="D25" s="84" t="s">
        <v>40</v>
      </c>
      <c r="E25" s="85">
        <f>1</f>
        <v>1</v>
      </c>
      <c r="F25" s="85"/>
      <c r="G25" s="85"/>
      <c r="H25" s="85"/>
      <c r="I25" s="88">
        <v>1</v>
      </c>
      <c r="J25" s="44" t="s">
        <v>27</v>
      </c>
    </row>
    <row r="26" spans="1:10" ht="26.4" x14ac:dyDescent="0.25">
      <c r="A26" s="39" t="s">
        <v>41</v>
      </c>
      <c r="B26" s="16" t="s">
        <v>42</v>
      </c>
      <c r="C26" s="16" t="s">
        <v>43</v>
      </c>
      <c r="D26" s="17" t="s">
        <v>44</v>
      </c>
      <c r="E26" s="16" t="s">
        <v>45</v>
      </c>
      <c r="F26" s="27">
        <v>12</v>
      </c>
      <c r="G26" s="67">
        <v>800.6</v>
      </c>
      <c r="H26" s="67">
        <v>965.52</v>
      </c>
      <c r="I26" s="18">
        <v>11586.24</v>
      </c>
      <c r="J26" s="40">
        <v>6.6195299622275028E-4</v>
      </c>
    </row>
    <row r="27" spans="1:10" x14ac:dyDescent="0.25">
      <c r="A27" s="43" t="s">
        <v>24</v>
      </c>
      <c r="B27" s="83"/>
      <c r="C27" s="83"/>
      <c r="D27" s="84" t="s">
        <v>3</v>
      </c>
      <c r="E27" s="85" t="s">
        <v>25</v>
      </c>
      <c r="F27" s="85"/>
      <c r="G27" s="85"/>
      <c r="H27" s="86"/>
      <c r="I27" s="87" t="s">
        <v>1911</v>
      </c>
      <c r="J27" s="44"/>
    </row>
    <row r="28" spans="1:10" ht="26.4" x14ac:dyDescent="0.25">
      <c r="A28" s="51"/>
      <c r="B28" s="83"/>
      <c r="C28" s="83"/>
      <c r="D28" s="84" t="s">
        <v>1905</v>
      </c>
      <c r="E28" s="85">
        <f>12</f>
        <v>12</v>
      </c>
      <c r="F28" s="85"/>
      <c r="G28" s="85"/>
      <c r="H28" s="85"/>
      <c r="I28" s="88">
        <v>12</v>
      </c>
      <c r="J28" s="44" t="s">
        <v>27</v>
      </c>
    </row>
    <row r="29" spans="1:10" ht="52.8" x14ac:dyDescent="0.25">
      <c r="A29" s="39" t="s">
        <v>46</v>
      </c>
      <c r="B29" s="16" t="s">
        <v>47</v>
      </c>
      <c r="C29" s="16" t="s">
        <v>43</v>
      </c>
      <c r="D29" s="17" t="s">
        <v>48</v>
      </c>
      <c r="E29" s="16" t="s">
        <v>45</v>
      </c>
      <c r="F29" s="27">
        <v>12</v>
      </c>
      <c r="G29" s="67">
        <v>1097.99</v>
      </c>
      <c r="H29" s="67">
        <v>1324.17</v>
      </c>
      <c r="I29" s="18">
        <v>15890.04</v>
      </c>
      <c r="J29" s="40">
        <v>9.0784064442816224E-4</v>
      </c>
    </row>
    <row r="30" spans="1:10" x14ac:dyDescent="0.25">
      <c r="A30" s="43" t="s">
        <v>24</v>
      </c>
      <c r="B30" s="83"/>
      <c r="C30" s="83"/>
      <c r="D30" s="84" t="s">
        <v>3</v>
      </c>
      <c r="E30" s="85" t="s">
        <v>25</v>
      </c>
      <c r="F30" s="85"/>
      <c r="G30" s="85"/>
      <c r="H30" s="86"/>
      <c r="I30" s="87" t="s">
        <v>1911</v>
      </c>
      <c r="J30" s="44"/>
    </row>
    <row r="31" spans="1:10" ht="26.4" x14ac:dyDescent="0.25">
      <c r="A31" s="51"/>
      <c r="B31" s="83"/>
      <c r="C31" s="83"/>
      <c r="D31" s="84" t="s">
        <v>1905</v>
      </c>
      <c r="E31" s="85">
        <f>12</f>
        <v>12</v>
      </c>
      <c r="F31" s="85"/>
      <c r="G31" s="85"/>
      <c r="H31" s="85"/>
      <c r="I31" s="88">
        <v>12</v>
      </c>
      <c r="J31" s="44" t="s">
        <v>27</v>
      </c>
    </row>
    <row r="32" spans="1:10" ht="26.4" x14ac:dyDescent="0.25">
      <c r="A32" s="39" t="s">
        <v>49</v>
      </c>
      <c r="B32" s="16" t="s">
        <v>50</v>
      </c>
      <c r="C32" s="16" t="s">
        <v>21</v>
      </c>
      <c r="D32" s="17" t="s">
        <v>51</v>
      </c>
      <c r="E32" s="16" t="s">
        <v>52</v>
      </c>
      <c r="F32" s="27">
        <v>269</v>
      </c>
      <c r="G32" s="67">
        <v>58.02</v>
      </c>
      <c r="H32" s="67">
        <v>69.97</v>
      </c>
      <c r="I32" s="18">
        <v>18821.93</v>
      </c>
      <c r="J32" s="40">
        <v>1.0753473912326061E-3</v>
      </c>
    </row>
    <row r="33" spans="1:10" x14ac:dyDescent="0.25">
      <c r="A33" s="43" t="s">
        <v>24</v>
      </c>
      <c r="B33" s="83"/>
      <c r="C33" s="83"/>
      <c r="D33" s="84" t="s">
        <v>3</v>
      </c>
      <c r="E33" s="85" t="s">
        <v>25</v>
      </c>
      <c r="F33" s="85"/>
      <c r="G33" s="85"/>
      <c r="H33" s="86"/>
      <c r="I33" s="87" t="s">
        <v>1911</v>
      </c>
      <c r="J33" s="44"/>
    </row>
    <row r="34" spans="1:10" ht="26.4" x14ac:dyDescent="0.25">
      <c r="A34" s="51"/>
      <c r="B34" s="83"/>
      <c r="C34" s="83"/>
      <c r="D34" s="84" t="s">
        <v>53</v>
      </c>
      <c r="E34" s="85">
        <f>269</f>
        <v>269</v>
      </c>
      <c r="F34" s="85"/>
      <c r="G34" s="85"/>
      <c r="H34" s="85"/>
      <c r="I34" s="88">
        <v>269</v>
      </c>
      <c r="J34" s="44" t="s">
        <v>27</v>
      </c>
    </row>
    <row r="35" spans="1:10" x14ac:dyDescent="0.25">
      <c r="A35" s="39" t="s">
        <v>54</v>
      </c>
      <c r="B35" s="16" t="s">
        <v>55</v>
      </c>
      <c r="C35" s="16" t="s">
        <v>56</v>
      </c>
      <c r="D35" s="17" t="s">
        <v>57</v>
      </c>
      <c r="E35" s="16" t="s">
        <v>23</v>
      </c>
      <c r="F35" s="27">
        <v>9611.4699999999993</v>
      </c>
      <c r="G35" s="67">
        <v>1.33</v>
      </c>
      <c r="H35" s="67">
        <v>1.6</v>
      </c>
      <c r="I35" s="18">
        <v>15378.35</v>
      </c>
      <c r="J35" s="40">
        <v>8.786064210185644E-4</v>
      </c>
    </row>
    <row r="36" spans="1:10" x14ac:dyDescent="0.25">
      <c r="A36" s="43" t="s">
        <v>24</v>
      </c>
      <c r="B36" s="83"/>
      <c r="C36" s="83"/>
      <c r="D36" s="84" t="s">
        <v>3</v>
      </c>
      <c r="E36" s="85" t="s">
        <v>25</v>
      </c>
      <c r="F36" s="85"/>
      <c r="G36" s="85"/>
      <c r="H36" s="86"/>
      <c r="I36" s="87" t="s">
        <v>1911</v>
      </c>
      <c r="J36" s="44"/>
    </row>
    <row r="37" spans="1:10" ht="26.4" x14ac:dyDescent="0.25">
      <c r="A37" s="51"/>
      <c r="B37" s="83"/>
      <c r="C37" s="83"/>
      <c r="D37" s="84" t="s">
        <v>58</v>
      </c>
      <c r="E37" s="85">
        <f>9611.47</f>
        <v>9611.4699999999993</v>
      </c>
      <c r="F37" s="85"/>
      <c r="G37" s="85"/>
      <c r="H37" s="85"/>
      <c r="I37" s="88">
        <v>9611.4699999999993</v>
      </c>
      <c r="J37" s="44" t="s">
        <v>27</v>
      </c>
    </row>
    <row r="38" spans="1:10" x14ac:dyDescent="0.25">
      <c r="A38" s="41" t="s">
        <v>59</v>
      </c>
      <c r="B38" s="13"/>
      <c r="C38" s="13"/>
      <c r="D38" s="14" t="s">
        <v>60</v>
      </c>
      <c r="E38" s="14"/>
      <c r="F38" s="26">
        <v>1</v>
      </c>
      <c r="G38" s="66"/>
      <c r="H38" s="66"/>
      <c r="I38" s="15">
        <v>2534152.69</v>
      </c>
      <c r="J38" s="42">
        <v>0.14478294649786663</v>
      </c>
    </row>
    <row r="39" spans="1:10" x14ac:dyDescent="0.25">
      <c r="A39" s="41" t="s">
        <v>61</v>
      </c>
      <c r="B39" s="13"/>
      <c r="C39" s="13"/>
      <c r="D39" s="14" t="s">
        <v>62</v>
      </c>
      <c r="E39" s="14"/>
      <c r="F39" s="26">
        <v>1</v>
      </c>
      <c r="G39" s="66"/>
      <c r="H39" s="66"/>
      <c r="I39" s="15">
        <v>1365533.71</v>
      </c>
      <c r="J39" s="42">
        <v>7.8016606835148258E-2</v>
      </c>
    </row>
    <row r="40" spans="1:10" ht="66" x14ac:dyDescent="0.25">
      <c r="A40" s="39" t="s">
        <v>63</v>
      </c>
      <c r="B40" s="16" t="s">
        <v>64</v>
      </c>
      <c r="C40" s="16" t="s">
        <v>21</v>
      </c>
      <c r="D40" s="17" t="s">
        <v>65</v>
      </c>
      <c r="E40" s="16" t="s">
        <v>66</v>
      </c>
      <c r="F40" s="27">
        <v>566.25</v>
      </c>
      <c r="G40" s="67">
        <v>16.29</v>
      </c>
      <c r="H40" s="67">
        <v>19.64</v>
      </c>
      <c r="I40" s="18">
        <v>11121.15</v>
      </c>
      <c r="J40" s="40">
        <v>6.3538115591793706E-4</v>
      </c>
    </row>
    <row r="41" spans="1:10" x14ac:dyDescent="0.25">
      <c r="A41" s="43" t="s">
        <v>24</v>
      </c>
      <c r="B41" s="83"/>
      <c r="C41" s="83"/>
      <c r="D41" s="84" t="s">
        <v>3</v>
      </c>
      <c r="E41" s="85" t="s">
        <v>25</v>
      </c>
      <c r="F41" s="85"/>
      <c r="G41" s="85"/>
      <c r="H41" s="86"/>
      <c r="I41" s="87" t="s">
        <v>1911</v>
      </c>
      <c r="J41" s="44"/>
    </row>
    <row r="42" spans="1:10" ht="39.6" x14ac:dyDescent="0.25">
      <c r="A42" s="51"/>
      <c r="B42" s="83"/>
      <c r="C42" s="83"/>
      <c r="D42" s="84" t="s">
        <v>67</v>
      </c>
      <c r="E42" s="85">
        <f>566.25</f>
        <v>566.25</v>
      </c>
      <c r="F42" s="85"/>
      <c r="G42" s="85"/>
      <c r="H42" s="85"/>
      <c r="I42" s="88">
        <v>566.25</v>
      </c>
      <c r="J42" s="44" t="s">
        <v>27</v>
      </c>
    </row>
    <row r="43" spans="1:10" ht="26.4" x14ac:dyDescent="0.25">
      <c r="A43" s="39" t="s">
        <v>68</v>
      </c>
      <c r="B43" s="16" t="s">
        <v>69</v>
      </c>
      <c r="C43" s="16" t="s">
        <v>70</v>
      </c>
      <c r="D43" s="17" t="s">
        <v>71</v>
      </c>
      <c r="E43" s="16" t="s">
        <v>66</v>
      </c>
      <c r="F43" s="27">
        <v>72.469499999999996</v>
      </c>
      <c r="G43" s="67">
        <v>109.17</v>
      </c>
      <c r="H43" s="67">
        <v>131.65</v>
      </c>
      <c r="I43" s="18">
        <v>9540.6</v>
      </c>
      <c r="J43" s="40">
        <v>5.4508009119116907E-4</v>
      </c>
    </row>
    <row r="44" spans="1:10" x14ac:dyDescent="0.25">
      <c r="A44" s="43" t="s">
        <v>24</v>
      </c>
      <c r="B44" s="83"/>
      <c r="C44" s="83"/>
      <c r="D44" s="84" t="s">
        <v>3</v>
      </c>
      <c r="E44" s="85" t="s">
        <v>25</v>
      </c>
      <c r="F44" s="85"/>
      <c r="G44" s="85"/>
      <c r="H44" s="86"/>
      <c r="I44" s="87" t="s">
        <v>1911</v>
      </c>
      <c r="J44" s="44"/>
    </row>
    <row r="45" spans="1:10" ht="52.8" x14ac:dyDescent="0.25">
      <c r="A45" s="51"/>
      <c r="B45" s="83"/>
      <c r="C45" s="83"/>
      <c r="D45" s="84" t="s">
        <v>72</v>
      </c>
      <c r="E45" s="85">
        <f>(4.5*6.2*1.2)+(5.1*0.9*3.9*2)+(1.5*2.5*0.85)</f>
        <v>72.469500000000011</v>
      </c>
      <c r="F45" s="85"/>
      <c r="G45" s="85"/>
      <c r="H45" s="85"/>
      <c r="I45" s="88">
        <v>72.469499999999996</v>
      </c>
      <c r="J45" s="44" t="s">
        <v>27</v>
      </c>
    </row>
    <row r="46" spans="1:10" ht="39.6" x14ac:dyDescent="0.25">
      <c r="A46" s="39" t="s">
        <v>73</v>
      </c>
      <c r="B46" s="16" t="s">
        <v>74</v>
      </c>
      <c r="C46" s="16" t="s">
        <v>21</v>
      </c>
      <c r="D46" s="17" t="s">
        <v>75</v>
      </c>
      <c r="E46" s="16" t="s">
        <v>66</v>
      </c>
      <c r="F46" s="27">
        <v>18583.28</v>
      </c>
      <c r="G46" s="67">
        <v>11.93</v>
      </c>
      <c r="H46" s="67">
        <v>14.38</v>
      </c>
      <c r="I46" s="18">
        <v>267227.56</v>
      </c>
      <c r="J46" s="40">
        <v>1.5267427915811753E-2</v>
      </c>
    </row>
    <row r="47" spans="1:10" x14ac:dyDescent="0.25">
      <c r="A47" s="43" t="s">
        <v>24</v>
      </c>
      <c r="B47" s="83"/>
      <c r="C47" s="83"/>
      <c r="D47" s="84" t="s">
        <v>3</v>
      </c>
      <c r="E47" s="85" t="s">
        <v>25</v>
      </c>
      <c r="F47" s="85"/>
      <c r="G47" s="85"/>
      <c r="H47" s="86"/>
      <c r="I47" s="87" t="s">
        <v>1911</v>
      </c>
      <c r="J47" s="44"/>
    </row>
    <row r="48" spans="1:10" ht="39.6" x14ac:dyDescent="0.25">
      <c r="A48" s="51"/>
      <c r="B48" s="83"/>
      <c r="C48" s="83"/>
      <c r="D48" s="84" t="s">
        <v>67</v>
      </c>
      <c r="E48" s="85">
        <f>18583.28</f>
        <v>18583.28</v>
      </c>
      <c r="F48" s="85"/>
      <c r="G48" s="85"/>
      <c r="H48" s="85"/>
      <c r="I48" s="88">
        <v>18583.28</v>
      </c>
      <c r="J48" s="44" t="s">
        <v>27</v>
      </c>
    </row>
    <row r="49" spans="1:10" ht="26.4" x14ac:dyDescent="0.25">
      <c r="A49" s="45" t="s">
        <v>76</v>
      </c>
      <c r="B49" s="21" t="s">
        <v>77</v>
      </c>
      <c r="C49" s="21" t="s">
        <v>21</v>
      </c>
      <c r="D49" s="22" t="s">
        <v>78</v>
      </c>
      <c r="E49" s="21" t="s">
        <v>79</v>
      </c>
      <c r="F49" s="28">
        <v>18583.28</v>
      </c>
      <c r="G49" s="68">
        <v>52.3</v>
      </c>
      <c r="H49" s="68">
        <v>57.99</v>
      </c>
      <c r="I49" s="23">
        <v>1077644.3999999999</v>
      </c>
      <c r="J49" s="46">
        <v>6.1568717672227401E-2</v>
      </c>
    </row>
    <row r="50" spans="1:10" x14ac:dyDescent="0.25">
      <c r="A50" s="43" t="s">
        <v>24</v>
      </c>
      <c r="B50" s="83"/>
      <c r="C50" s="83"/>
      <c r="D50" s="84" t="s">
        <v>3</v>
      </c>
      <c r="E50" s="85" t="s">
        <v>25</v>
      </c>
      <c r="F50" s="85"/>
      <c r="G50" s="85"/>
      <c r="H50" s="86"/>
      <c r="I50" s="87" t="s">
        <v>1911</v>
      </c>
      <c r="J50" s="44"/>
    </row>
    <row r="51" spans="1:10" ht="39.6" x14ac:dyDescent="0.25">
      <c r="A51" s="51"/>
      <c r="B51" s="83"/>
      <c r="C51" s="83"/>
      <c r="D51" s="84" t="s">
        <v>67</v>
      </c>
      <c r="E51" s="85">
        <f>18583.28</f>
        <v>18583.28</v>
      </c>
      <c r="F51" s="85"/>
      <c r="G51" s="85"/>
      <c r="H51" s="85"/>
      <c r="I51" s="88">
        <v>18583.28</v>
      </c>
      <c r="J51" s="44" t="s">
        <v>27</v>
      </c>
    </row>
    <row r="52" spans="1:10" x14ac:dyDescent="0.25">
      <c r="A52" s="41" t="s">
        <v>80</v>
      </c>
      <c r="B52" s="13"/>
      <c r="C52" s="13"/>
      <c r="D52" s="14" t="s">
        <v>81</v>
      </c>
      <c r="E52" s="14"/>
      <c r="F52" s="26">
        <v>1</v>
      </c>
      <c r="G52" s="66"/>
      <c r="H52" s="66"/>
      <c r="I52" s="15">
        <v>324879.12</v>
      </c>
      <c r="J52" s="42">
        <v>1.8561216312989411E-2</v>
      </c>
    </row>
    <row r="53" spans="1:10" x14ac:dyDescent="0.25">
      <c r="A53" s="41" t="s">
        <v>82</v>
      </c>
      <c r="B53" s="13"/>
      <c r="C53" s="13"/>
      <c r="D53" s="14" t="s">
        <v>83</v>
      </c>
      <c r="E53" s="14"/>
      <c r="F53" s="26">
        <v>1</v>
      </c>
      <c r="G53" s="66"/>
      <c r="H53" s="66"/>
      <c r="I53" s="15">
        <v>142631.23000000001</v>
      </c>
      <c r="J53" s="42">
        <v>8.148905085121335E-3</v>
      </c>
    </row>
    <row r="54" spans="1:10" x14ac:dyDescent="0.25">
      <c r="A54" s="41" t="s">
        <v>84</v>
      </c>
      <c r="B54" s="13"/>
      <c r="C54" s="13"/>
      <c r="D54" s="14" t="s">
        <v>85</v>
      </c>
      <c r="E54" s="14"/>
      <c r="F54" s="26">
        <v>1</v>
      </c>
      <c r="G54" s="66"/>
      <c r="H54" s="66"/>
      <c r="I54" s="15">
        <v>42831.88</v>
      </c>
      <c r="J54" s="42">
        <v>2.4471002930936433E-3</v>
      </c>
    </row>
    <row r="55" spans="1:10" ht="26.4" x14ac:dyDescent="0.25">
      <c r="A55" s="39" t="s">
        <v>86</v>
      </c>
      <c r="B55" s="16" t="s">
        <v>87</v>
      </c>
      <c r="C55" s="16" t="s">
        <v>21</v>
      </c>
      <c r="D55" s="17" t="s">
        <v>88</v>
      </c>
      <c r="E55" s="16" t="s">
        <v>89</v>
      </c>
      <c r="F55" s="27">
        <v>337</v>
      </c>
      <c r="G55" s="67">
        <v>12.42</v>
      </c>
      <c r="H55" s="67">
        <v>14.97</v>
      </c>
      <c r="I55" s="18">
        <v>5044.8900000000003</v>
      </c>
      <c r="J55" s="40">
        <v>2.8822810947418581E-4</v>
      </c>
    </row>
    <row r="56" spans="1:10" x14ac:dyDescent="0.25">
      <c r="A56" s="43" t="s">
        <v>24</v>
      </c>
      <c r="B56" s="83"/>
      <c r="C56" s="83"/>
      <c r="D56" s="84" t="s">
        <v>3</v>
      </c>
      <c r="E56" s="85" t="s">
        <v>25</v>
      </c>
      <c r="F56" s="85"/>
      <c r="G56" s="85"/>
      <c r="H56" s="86"/>
      <c r="I56" s="87" t="s">
        <v>1911</v>
      </c>
      <c r="J56" s="44"/>
    </row>
    <row r="57" spans="1:10" x14ac:dyDescent="0.25">
      <c r="A57" s="51"/>
      <c r="B57" s="83"/>
      <c r="C57" s="83"/>
      <c r="D57" s="84" t="s">
        <v>90</v>
      </c>
      <c r="E57" s="85">
        <f>337</f>
        <v>337</v>
      </c>
      <c r="F57" s="85"/>
      <c r="G57" s="85"/>
      <c r="H57" s="85"/>
      <c r="I57" s="88">
        <v>337</v>
      </c>
      <c r="J57" s="44" t="s">
        <v>27</v>
      </c>
    </row>
    <row r="58" spans="1:10" ht="26.4" x14ac:dyDescent="0.25">
      <c r="A58" s="39" t="s">
        <v>91</v>
      </c>
      <c r="B58" s="16" t="s">
        <v>92</v>
      </c>
      <c r="C58" s="16" t="s">
        <v>21</v>
      </c>
      <c r="D58" s="17" t="s">
        <v>93</v>
      </c>
      <c r="E58" s="16" t="s">
        <v>89</v>
      </c>
      <c r="F58" s="27">
        <v>1066.5999999999999</v>
      </c>
      <c r="G58" s="67">
        <v>11.07</v>
      </c>
      <c r="H58" s="67">
        <v>13.35</v>
      </c>
      <c r="I58" s="18">
        <v>14239.11</v>
      </c>
      <c r="J58" s="40">
        <v>8.1351858135558428E-4</v>
      </c>
    </row>
    <row r="59" spans="1:10" x14ac:dyDescent="0.25">
      <c r="A59" s="43" t="s">
        <v>24</v>
      </c>
      <c r="B59" s="83"/>
      <c r="C59" s="83"/>
      <c r="D59" s="84" t="s">
        <v>3</v>
      </c>
      <c r="E59" s="85" t="s">
        <v>25</v>
      </c>
      <c r="F59" s="85"/>
      <c r="G59" s="85"/>
      <c r="H59" s="86"/>
      <c r="I59" s="87" t="s">
        <v>1911</v>
      </c>
      <c r="J59" s="44"/>
    </row>
    <row r="60" spans="1:10" ht="26.4" x14ac:dyDescent="0.25">
      <c r="A60" s="51"/>
      <c r="B60" s="83"/>
      <c r="C60" s="83"/>
      <c r="D60" s="84" t="s">
        <v>31</v>
      </c>
      <c r="E60" s="85">
        <f>1066.6</f>
        <v>1066.5999999999999</v>
      </c>
      <c r="F60" s="85"/>
      <c r="G60" s="85"/>
      <c r="H60" s="85"/>
      <c r="I60" s="88">
        <v>1066.5999999999999</v>
      </c>
      <c r="J60" s="44" t="s">
        <v>27</v>
      </c>
    </row>
    <row r="61" spans="1:10" ht="26.4" x14ac:dyDescent="0.25">
      <c r="A61" s="39" t="s">
        <v>94</v>
      </c>
      <c r="B61" s="16" t="s">
        <v>95</v>
      </c>
      <c r="C61" s="16" t="s">
        <v>21</v>
      </c>
      <c r="D61" s="17" t="s">
        <v>96</v>
      </c>
      <c r="E61" s="16" t="s">
        <v>89</v>
      </c>
      <c r="F61" s="27">
        <v>299.5</v>
      </c>
      <c r="G61" s="67">
        <v>8.83</v>
      </c>
      <c r="H61" s="67">
        <v>10.64</v>
      </c>
      <c r="I61" s="18">
        <v>3186.68</v>
      </c>
      <c r="J61" s="40">
        <v>1.8206358352693486E-4</v>
      </c>
    </row>
    <row r="62" spans="1:10" x14ac:dyDescent="0.25">
      <c r="A62" s="43" t="s">
        <v>24</v>
      </c>
      <c r="B62" s="83"/>
      <c r="C62" s="83"/>
      <c r="D62" s="84" t="s">
        <v>3</v>
      </c>
      <c r="E62" s="85" t="s">
        <v>25</v>
      </c>
      <c r="F62" s="85"/>
      <c r="G62" s="85"/>
      <c r="H62" s="86"/>
      <c r="I62" s="87" t="s">
        <v>1911</v>
      </c>
      <c r="J62" s="44"/>
    </row>
    <row r="63" spans="1:10" ht="26.4" x14ac:dyDescent="0.25">
      <c r="A63" s="51"/>
      <c r="B63" s="83"/>
      <c r="C63" s="83"/>
      <c r="D63" s="84" t="s">
        <v>31</v>
      </c>
      <c r="E63" s="85">
        <f>299.5</f>
        <v>299.5</v>
      </c>
      <c r="F63" s="85"/>
      <c r="G63" s="85"/>
      <c r="H63" s="85"/>
      <c r="I63" s="88">
        <v>299.5</v>
      </c>
      <c r="J63" s="44" t="s">
        <v>27</v>
      </c>
    </row>
    <row r="64" spans="1:10" ht="39.6" x14ac:dyDescent="0.25">
      <c r="A64" s="39" t="s">
        <v>97</v>
      </c>
      <c r="B64" s="16" t="s">
        <v>98</v>
      </c>
      <c r="C64" s="16" t="s">
        <v>21</v>
      </c>
      <c r="D64" s="17" t="s">
        <v>99</v>
      </c>
      <c r="E64" s="16" t="s">
        <v>23</v>
      </c>
      <c r="F64" s="27">
        <v>157</v>
      </c>
      <c r="G64" s="67">
        <v>40.08</v>
      </c>
      <c r="H64" s="67">
        <v>48.33</v>
      </c>
      <c r="I64" s="18">
        <v>7587.81</v>
      </c>
      <c r="J64" s="40">
        <v>4.3351195592952903E-4</v>
      </c>
    </row>
    <row r="65" spans="1:10" x14ac:dyDescent="0.25">
      <c r="A65" s="43" t="s">
        <v>24</v>
      </c>
      <c r="B65" s="83"/>
      <c r="C65" s="83"/>
      <c r="D65" s="84" t="s">
        <v>3</v>
      </c>
      <c r="E65" s="85" t="s">
        <v>25</v>
      </c>
      <c r="F65" s="85"/>
      <c r="G65" s="85"/>
      <c r="H65" s="86"/>
      <c r="I65" s="87" t="s">
        <v>1911</v>
      </c>
      <c r="J65" s="44"/>
    </row>
    <row r="66" spans="1:10" ht="26.4" x14ac:dyDescent="0.25">
      <c r="A66" s="51"/>
      <c r="B66" s="83"/>
      <c r="C66" s="83"/>
      <c r="D66" s="84" t="s">
        <v>31</v>
      </c>
      <c r="E66" s="85">
        <f>157</f>
        <v>157</v>
      </c>
      <c r="F66" s="85"/>
      <c r="G66" s="85"/>
      <c r="H66" s="85"/>
      <c r="I66" s="88">
        <v>157</v>
      </c>
      <c r="J66" s="44" t="s">
        <v>27</v>
      </c>
    </row>
    <row r="67" spans="1:10" ht="39.6" x14ac:dyDescent="0.25">
      <c r="A67" s="39" t="s">
        <v>100</v>
      </c>
      <c r="B67" s="16" t="s">
        <v>101</v>
      </c>
      <c r="C67" s="16" t="s">
        <v>21</v>
      </c>
      <c r="D67" s="17" t="s">
        <v>102</v>
      </c>
      <c r="E67" s="16" t="s">
        <v>66</v>
      </c>
      <c r="F67" s="27">
        <v>19.62</v>
      </c>
      <c r="G67" s="67">
        <v>501.07</v>
      </c>
      <c r="H67" s="67">
        <v>604.29</v>
      </c>
      <c r="I67" s="18">
        <v>11856.16</v>
      </c>
      <c r="J67" s="40">
        <v>6.7737425046402648E-4</v>
      </c>
    </row>
    <row r="68" spans="1:10" x14ac:dyDescent="0.25">
      <c r="A68" s="43" t="s">
        <v>24</v>
      </c>
      <c r="B68" s="83"/>
      <c r="C68" s="83"/>
      <c r="D68" s="84" t="s">
        <v>3</v>
      </c>
      <c r="E68" s="85" t="s">
        <v>25</v>
      </c>
      <c r="F68" s="85"/>
      <c r="G68" s="85"/>
      <c r="H68" s="86"/>
      <c r="I68" s="87" t="s">
        <v>1911</v>
      </c>
      <c r="J68" s="44"/>
    </row>
    <row r="69" spans="1:10" ht="26.4" x14ac:dyDescent="0.25">
      <c r="A69" s="51"/>
      <c r="B69" s="83"/>
      <c r="C69" s="83"/>
      <c r="D69" s="84" t="s">
        <v>31</v>
      </c>
      <c r="E69" s="85">
        <f>19.62</f>
        <v>19.62</v>
      </c>
      <c r="F69" s="85"/>
      <c r="G69" s="85"/>
      <c r="H69" s="85"/>
      <c r="I69" s="88">
        <v>19.62</v>
      </c>
      <c r="J69" s="44" t="s">
        <v>27</v>
      </c>
    </row>
    <row r="70" spans="1:10" ht="26.4" x14ac:dyDescent="0.25">
      <c r="A70" s="39" t="s">
        <v>103</v>
      </c>
      <c r="B70" s="16" t="s">
        <v>104</v>
      </c>
      <c r="C70" s="16" t="s">
        <v>21</v>
      </c>
      <c r="D70" s="17" t="s">
        <v>105</v>
      </c>
      <c r="E70" s="16" t="s">
        <v>66</v>
      </c>
      <c r="F70" s="27">
        <v>19.62</v>
      </c>
      <c r="G70" s="67">
        <v>38.770000000000003</v>
      </c>
      <c r="H70" s="67">
        <v>46.75</v>
      </c>
      <c r="I70" s="18">
        <v>917.23</v>
      </c>
      <c r="J70" s="40">
        <v>5.2403812343382597E-5</v>
      </c>
    </row>
    <row r="71" spans="1:10" x14ac:dyDescent="0.25">
      <c r="A71" s="43" t="s">
        <v>24</v>
      </c>
      <c r="B71" s="83"/>
      <c r="C71" s="83"/>
      <c r="D71" s="84" t="s">
        <v>3</v>
      </c>
      <c r="E71" s="85" t="s">
        <v>25</v>
      </c>
      <c r="F71" s="85"/>
      <c r="G71" s="85"/>
      <c r="H71" s="86"/>
      <c r="I71" s="87" t="s">
        <v>1911</v>
      </c>
      <c r="J71" s="44"/>
    </row>
    <row r="72" spans="1:10" ht="26.4" x14ac:dyDescent="0.25">
      <c r="A72" s="51"/>
      <c r="B72" s="83"/>
      <c r="C72" s="83"/>
      <c r="D72" s="84" t="s">
        <v>31</v>
      </c>
      <c r="E72" s="85">
        <f>19.62</f>
        <v>19.62</v>
      </c>
      <c r="F72" s="85"/>
      <c r="G72" s="85"/>
      <c r="H72" s="85"/>
      <c r="I72" s="88">
        <v>19.62</v>
      </c>
      <c r="J72" s="44" t="s">
        <v>27</v>
      </c>
    </row>
    <row r="73" spans="1:10" x14ac:dyDescent="0.25">
      <c r="A73" s="41" t="s">
        <v>106</v>
      </c>
      <c r="B73" s="13"/>
      <c r="C73" s="13"/>
      <c r="D73" s="14" t="s">
        <v>107</v>
      </c>
      <c r="E73" s="14"/>
      <c r="F73" s="26">
        <v>1</v>
      </c>
      <c r="G73" s="66"/>
      <c r="H73" s="66"/>
      <c r="I73" s="15">
        <v>29579.59</v>
      </c>
      <c r="J73" s="42">
        <v>1.6899613876063763E-3</v>
      </c>
    </row>
    <row r="74" spans="1:10" ht="39.6" x14ac:dyDescent="0.25">
      <c r="A74" s="39" t="s">
        <v>108</v>
      </c>
      <c r="B74" s="16" t="s">
        <v>109</v>
      </c>
      <c r="C74" s="16" t="s">
        <v>21</v>
      </c>
      <c r="D74" s="17" t="s">
        <v>110</v>
      </c>
      <c r="E74" s="16" t="s">
        <v>23</v>
      </c>
      <c r="F74" s="27">
        <v>66.16</v>
      </c>
      <c r="G74" s="67">
        <v>66.349999999999994</v>
      </c>
      <c r="H74" s="67">
        <v>80.010000000000005</v>
      </c>
      <c r="I74" s="18">
        <v>5293.46</v>
      </c>
      <c r="J74" s="40">
        <v>3.0242958089814122E-4</v>
      </c>
    </row>
    <row r="75" spans="1:10" x14ac:dyDescent="0.25">
      <c r="A75" s="43" t="s">
        <v>24</v>
      </c>
      <c r="B75" s="83"/>
      <c r="C75" s="83"/>
      <c r="D75" s="84" t="s">
        <v>3</v>
      </c>
      <c r="E75" s="85" t="s">
        <v>25</v>
      </c>
      <c r="F75" s="85"/>
      <c r="G75" s="85"/>
      <c r="H75" s="86"/>
      <c r="I75" s="87" t="s">
        <v>1911</v>
      </c>
      <c r="J75" s="44"/>
    </row>
    <row r="76" spans="1:10" ht="26.4" x14ac:dyDescent="0.25">
      <c r="A76" s="51"/>
      <c r="B76" s="83"/>
      <c r="C76" s="83"/>
      <c r="D76" s="84" t="s">
        <v>31</v>
      </c>
      <c r="E76" s="85">
        <f>66.16</f>
        <v>66.16</v>
      </c>
      <c r="F76" s="85"/>
      <c r="G76" s="85"/>
      <c r="H76" s="85"/>
      <c r="I76" s="88">
        <v>66.16</v>
      </c>
      <c r="J76" s="44" t="s">
        <v>27</v>
      </c>
    </row>
    <row r="77" spans="1:10" ht="26.4" x14ac:dyDescent="0.25">
      <c r="A77" s="39" t="s">
        <v>111</v>
      </c>
      <c r="B77" s="16" t="s">
        <v>112</v>
      </c>
      <c r="C77" s="16" t="s">
        <v>21</v>
      </c>
      <c r="D77" s="17" t="s">
        <v>113</v>
      </c>
      <c r="E77" s="16" t="s">
        <v>89</v>
      </c>
      <c r="F77" s="27">
        <v>295.10000000000002</v>
      </c>
      <c r="G77" s="67">
        <v>11.99</v>
      </c>
      <c r="H77" s="67">
        <v>14.45</v>
      </c>
      <c r="I77" s="18">
        <v>4264.1899999999996</v>
      </c>
      <c r="J77" s="40">
        <v>2.4362462256634503E-4</v>
      </c>
    </row>
    <row r="78" spans="1:10" x14ac:dyDescent="0.25">
      <c r="A78" s="43" t="s">
        <v>24</v>
      </c>
      <c r="B78" s="83"/>
      <c r="C78" s="83"/>
      <c r="D78" s="84" t="s">
        <v>3</v>
      </c>
      <c r="E78" s="85" t="s">
        <v>25</v>
      </c>
      <c r="F78" s="85"/>
      <c r="G78" s="85"/>
      <c r="H78" s="86"/>
      <c r="I78" s="87" t="s">
        <v>1911</v>
      </c>
      <c r="J78" s="44"/>
    </row>
    <row r="79" spans="1:10" ht="26.4" x14ac:dyDescent="0.25">
      <c r="A79" s="51"/>
      <c r="B79" s="83"/>
      <c r="C79" s="83"/>
      <c r="D79" s="84" t="s">
        <v>31</v>
      </c>
      <c r="E79" s="85">
        <f>295.1</f>
        <v>295.10000000000002</v>
      </c>
      <c r="F79" s="85"/>
      <c r="G79" s="85"/>
      <c r="H79" s="85"/>
      <c r="I79" s="88">
        <v>295.10000000000002</v>
      </c>
      <c r="J79" s="44" t="s">
        <v>27</v>
      </c>
    </row>
    <row r="80" spans="1:10" ht="26.4" x14ac:dyDescent="0.25">
      <c r="A80" s="39" t="s">
        <v>114</v>
      </c>
      <c r="B80" s="16" t="s">
        <v>115</v>
      </c>
      <c r="C80" s="16" t="s">
        <v>21</v>
      </c>
      <c r="D80" s="17" t="s">
        <v>116</v>
      </c>
      <c r="E80" s="16" t="s">
        <v>89</v>
      </c>
      <c r="F80" s="27">
        <v>585.9</v>
      </c>
      <c r="G80" s="67">
        <v>11.28</v>
      </c>
      <c r="H80" s="67">
        <v>13.6</v>
      </c>
      <c r="I80" s="18">
        <v>7968.24</v>
      </c>
      <c r="J80" s="40">
        <v>4.5524694315170129E-4</v>
      </c>
    </row>
    <row r="81" spans="1:10" x14ac:dyDescent="0.25">
      <c r="A81" s="43" t="s">
        <v>24</v>
      </c>
      <c r="B81" s="83"/>
      <c r="C81" s="83"/>
      <c r="D81" s="84" t="s">
        <v>3</v>
      </c>
      <c r="E81" s="85" t="s">
        <v>25</v>
      </c>
      <c r="F81" s="85"/>
      <c r="G81" s="85"/>
      <c r="H81" s="86"/>
      <c r="I81" s="87" t="s">
        <v>1911</v>
      </c>
      <c r="J81" s="44"/>
    </row>
    <row r="82" spans="1:10" ht="26.4" x14ac:dyDescent="0.25">
      <c r="A82" s="51"/>
      <c r="B82" s="83"/>
      <c r="C82" s="83"/>
      <c r="D82" s="84" t="s">
        <v>31</v>
      </c>
      <c r="E82" s="85">
        <f>585.9</f>
        <v>585.9</v>
      </c>
      <c r="F82" s="85"/>
      <c r="G82" s="85"/>
      <c r="H82" s="85"/>
      <c r="I82" s="88">
        <v>585.9</v>
      </c>
      <c r="J82" s="44" t="s">
        <v>27</v>
      </c>
    </row>
    <row r="83" spans="1:10" ht="26.4" x14ac:dyDescent="0.25">
      <c r="A83" s="39" t="s">
        <v>117</v>
      </c>
      <c r="B83" s="16" t="s">
        <v>118</v>
      </c>
      <c r="C83" s="16" t="s">
        <v>21</v>
      </c>
      <c r="D83" s="17" t="s">
        <v>119</v>
      </c>
      <c r="E83" s="16" t="s">
        <v>89</v>
      </c>
      <c r="F83" s="27">
        <v>363.8</v>
      </c>
      <c r="G83" s="67">
        <v>10.07</v>
      </c>
      <c r="H83" s="67">
        <v>12.14</v>
      </c>
      <c r="I83" s="18">
        <v>4416.53</v>
      </c>
      <c r="J83" s="40">
        <v>2.5232821574623545E-4</v>
      </c>
    </row>
    <row r="84" spans="1:10" x14ac:dyDescent="0.25">
      <c r="A84" s="43" t="s">
        <v>24</v>
      </c>
      <c r="B84" s="83"/>
      <c r="C84" s="83"/>
      <c r="D84" s="84" t="s">
        <v>3</v>
      </c>
      <c r="E84" s="85" t="s">
        <v>25</v>
      </c>
      <c r="F84" s="85"/>
      <c r="G84" s="85"/>
      <c r="H84" s="86"/>
      <c r="I84" s="87" t="s">
        <v>1911</v>
      </c>
      <c r="J84" s="44"/>
    </row>
    <row r="85" spans="1:10" ht="26.4" x14ac:dyDescent="0.25">
      <c r="A85" s="51"/>
      <c r="B85" s="83"/>
      <c r="C85" s="83"/>
      <c r="D85" s="84" t="s">
        <v>31</v>
      </c>
      <c r="E85" s="85">
        <f>363.8</f>
        <v>363.8</v>
      </c>
      <c r="F85" s="85"/>
      <c r="G85" s="85"/>
      <c r="H85" s="85"/>
      <c r="I85" s="88">
        <v>363.8</v>
      </c>
      <c r="J85" s="44" t="s">
        <v>27</v>
      </c>
    </row>
    <row r="86" spans="1:10" ht="39.6" x14ac:dyDescent="0.25">
      <c r="A86" s="39" t="s">
        <v>120</v>
      </c>
      <c r="B86" s="16" t="s">
        <v>101</v>
      </c>
      <c r="C86" s="16" t="s">
        <v>21</v>
      </c>
      <c r="D86" s="17" t="s">
        <v>102</v>
      </c>
      <c r="E86" s="16" t="s">
        <v>66</v>
      </c>
      <c r="F86" s="27">
        <v>10.07</v>
      </c>
      <c r="G86" s="67">
        <v>501.07</v>
      </c>
      <c r="H86" s="67">
        <v>604.29</v>
      </c>
      <c r="I86" s="18">
        <v>6085.2</v>
      </c>
      <c r="J86" s="40">
        <v>3.4766381264454043E-4</v>
      </c>
    </row>
    <row r="87" spans="1:10" x14ac:dyDescent="0.25">
      <c r="A87" s="43" t="s">
        <v>24</v>
      </c>
      <c r="B87" s="83"/>
      <c r="C87" s="83"/>
      <c r="D87" s="84" t="s">
        <v>3</v>
      </c>
      <c r="E87" s="85" t="s">
        <v>25</v>
      </c>
      <c r="F87" s="85"/>
      <c r="G87" s="85"/>
      <c r="H87" s="86"/>
      <c r="I87" s="87" t="s">
        <v>1911</v>
      </c>
      <c r="J87" s="44"/>
    </row>
    <row r="88" spans="1:10" ht="26.4" x14ac:dyDescent="0.25">
      <c r="A88" s="51"/>
      <c r="B88" s="83"/>
      <c r="C88" s="83"/>
      <c r="D88" s="84" t="s">
        <v>31</v>
      </c>
      <c r="E88" s="85">
        <f>10.07</f>
        <v>10.07</v>
      </c>
      <c r="F88" s="85"/>
      <c r="G88" s="85"/>
      <c r="H88" s="85"/>
      <c r="I88" s="88">
        <v>10.07</v>
      </c>
      <c r="J88" s="44" t="s">
        <v>27</v>
      </c>
    </row>
    <row r="89" spans="1:10" ht="26.4" x14ac:dyDescent="0.25">
      <c r="A89" s="39" t="s">
        <v>121</v>
      </c>
      <c r="B89" s="16" t="s">
        <v>104</v>
      </c>
      <c r="C89" s="16" t="s">
        <v>21</v>
      </c>
      <c r="D89" s="17" t="s">
        <v>105</v>
      </c>
      <c r="E89" s="16" t="s">
        <v>66</v>
      </c>
      <c r="F89" s="27">
        <v>10.07</v>
      </c>
      <c r="G89" s="67">
        <v>38.770000000000003</v>
      </c>
      <c r="H89" s="67">
        <v>46.75</v>
      </c>
      <c r="I89" s="18">
        <v>470.77</v>
      </c>
      <c r="J89" s="40">
        <v>2.689635395363674E-5</v>
      </c>
    </row>
    <row r="90" spans="1:10" x14ac:dyDescent="0.25">
      <c r="A90" s="43" t="s">
        <v>24</v>
      </c>
      <c r="B90" s="83"/>
      <c r="C90" s="83"/>
      <c r="D90" s="84" t="s">
        <v>3</v>
      </c>
      <c r="E90" s="85" t="s">
        <v>25</v>
      </c>
      <c r="F90" s="85"/>
      <c r="G90" s="85"/>
      <c r="H90" s="86"/>
      <c r="I90" s="87" t="s">
        <v>1911</v>
      </c>
      <c r="J90" s="44"/>
    </row>
    <row r="91" spans="1:10" ht="26.4" x14ac:dyDescent="0.25">
      <c r="A91" s="51"/>
      <c r="B91" s="83"/>
      <c r="C91" s="83"/>
      <c r="D91" s="84" t="s">
        <v>31</v>
      </c>
      <c r="E91" s="85">
        <f>10.07</f>
        <v>10.07</v>
      </c>
      <c r="F91" s="85"/>
      <c r="G91" s="85"/>
      <c r="H91" s="85"/>
      <c r="I91" s="88">
        <v>10.07</v>
      </c>
      <c r="J91" s="44" t="s">
        <v>27</v>
      </c>
    </row>
    <row r="92" spans="1:10" ht="26.4" x14ac:dyDescent="0.25">
      <c r="A92" s="39" t="s">
        <v>122</v>
      </c>
      <c r="B92" s="16" t="s">
        <v>123</v>
      </c>
      <c r="C92" s="16" t="s">
        <v>14</v>
      </c>
      <c r="D92" s="17" t="s">
        <v>124</v>
      </c>
      <c r="E92" s="16" t="s">
        <v>16</v>
      </c>
      <c r="F92" s="27">
        <v>2</v>
      </c>
      <c r="G92" s="67">
        <v>448.26</v>
      </c>
      <c r="H92" s="67">
        <v>540.6</v>
      </c>
      <c r="I92" s="18">
        <v>1081.2</v>
      </c>
      <c r="J92" s="40">
        <v>6.177185864577616E-5</v>
      </c>
    </row>
    <row r="93" spans="1:10" x14ac:dyDescent="0.25">
      <c r="A93" s="43" t="s">
        <v>24</v>
      </c>
      <c r="B93" s="83"/>
      <c r="C93" s="83"/>
      <c r="D93" s="84" t="s">
        <v>3</v>
      </c>
      <c r="E93" s="85" t="s">
        <v>25</v>
      </c>
      <c r="F93" s="85"/>
      <c r="G93" s="85"/>
      <c r="H93" s="86"/>
      <c r="I93" s="87" t="s">
        <v>1911</v>
      </c>
      <c r="J93" s="44"/>
    </row>
    <row r="94" spans="1:10" x14ac:dyDescent="0.25">
      <c r="A94" s="51"/>
      <c r="B94" s="83"/>
      <c r="C94" s="83"/>
      <c r="D94" s="84" t="s">
        <v>125</v>
      </c>
      <c r="E94" s="85">
        <f>2</f>
        <v>2</v>
      </c>
      <c r="F94" s="85"/>
      <c r="G94" s="85"/>
      <c r="H94" s="85"/>
      <c r="I94" s="88">
        <v>2</v>
      </c>
      <c r="J94" s="44" t="s">
        <v>27</v>
      </c>
    </row>
    <row r="95" spans="1:10" x14ac:dyDescent="0.25">
      <c r="A95" s="41" t="s">
        <v>126</v>
      </c>
      <c r="B95" s="13"/>
      <c r="C95" s="13"/>
      <c r="D95" s="14" t="s">
        <v>127</v>
      </c>
      <c r="E95" s="14"/>
      <c r="F95" s="26">
        <v>1</v>
      </c>
      <c r="G95" s="66"/>
      <c r="H95" s="66"/>
      <c r="I95" s="15">
        <v>39124.620000000003</v>
      </c>
      <c r="J95" s="42">
        <v>2.235294576590554E-3</v>
      </c>
    </row>
    <row r="96" spans="1:10" ht="52.8" x14ac:dyDescent="0.25">
      <c r="A96" s="39" t="s">
        <v>128</v>
      </c>
      <c r="B96" s="16" t="s">
        <v>129</v>
      </c>
      <c r="C96" s="16" t="s">
        <v>21</v>
      </c>
      <c r="D96" s="17" t="s">
        <v>130</v>
      </c>
      <c r="E96" s="16" t="s">
        <v>23</v>
      </c>
      <c r="F96" s="27">
        <v>84.384</v>
      </c>
      <c r="G96" s="67">
        <v>6.3</v>
      </c>
      <c r="H96" s="67">
        <v>7.59</v>
      </c>
      <c r="I96" s="18">
        <v>640.47</v>
      </c>
      <c r="J96" s="40">
        <v>3.6591770539086437E-5</v>
      </c>
    </row>
    <row r="97" spans="1:10" x14ac:dyDescent="0.25">
      <c r="A97" s="43" t="s">
        <v>24</v>
      </c>
      <c r="B97" s="83"/>
      <c r="C97" s="83"/>
      <c r="D97" s="84" t="s">
        <v>3</v>
      </c>
      <c r="E97" s="85" t="s">
        <v>25</v>
      </c>
      <c r="F97" s="85"/>
      <c r="G97" s="85"/>
      <c r="H97" s="86"/>
      <c r="I97" s="87" t="s">
        <v>1911</v>
      </c>
      <c r="J97" s="44"/>
    </row>
    <row r="98" spans="1:10" ht="26.4" x14ac:dyDescent="0.25">
      <c r="A98" s="51"/>
      <c r="B98" s="83"/>
      <c r="C98" s="83"/>
      <c r="D98" s="84" t="s">
        <v>131</v>
      </c>
      <c r="E98" s="85">
        <f>84.384</f>
        <v>84.384</v>
      </c>
      <c r="F98" s="85"/>
      <c r="G98" s="85"/>
      <c r="H98" s="85"/>
      <c r="I98" s="88">
        <v>84.384</v>
      </c>
      <c r="J98" s="44" t="s">
        <v>27</v>
      </c>
    </row>
    <row r="99" spans="1:10" ht="66" x14ac:dyDescent="0.25">
      <c r="A99" s="39" t="s">
        <v>132</v>
      </c>
      <c r="B99" s="16" t="s">
        <v>133</v>
      </c>
      <c r="C99" s="16" t="s">
        <v>21</v>
      </c>
      <c r="D99" s="17" t="s">
        <v>134</v>
      </c>
      <c r="E99" s="16" t="s">
        <v>23</v>
      </c>
      <c r="F99" s="27">
        <v>84.384</v>
      </c>
      <c r="G99" s="67">
        <v>38.950000000000003</v>
      </c>
      <c r="H99" s="67">
        <v>46.97</v>
      </c>
      <c r="I99" s="18">
        <v>3963.51</v>
      </c>
      <c r="J99" s="40">
        <v>2.2644596694517227E-4</v>
      </c>
    </row>
    <row r="100" spans="1:10" x14ac:dyDescent="0.25">
      <c r="A100" s="43" t="s">
        <v>24</v>
      </c>
      <c r="B100" s="83"/>
      <c r="C100" s="83"/>
      <c r="D100" s="84" t="s">
        <v>3</v>
      </c>
      <c r="E100" s="85" t="s">
        <v>25</v>
      </c>
      <c r="F100" s="85"/>
      <c r="G100" s="85"/>
      <c r="H100" s="86"/>
      <c r="I100" s="87" t="s">
        <v>1911</v>
      </c>
      <c r="J100" s="44"/>
    </row>
    <row r="101" spans="1:10" ht="26.4" x14ac:dyDescent="0.25">
      <c r="A101" s="51"/>
      <c r="B101" s="83"/>
      <c r="C101" s="83"/>
      <c r="D101" s="84" t="s">
        <v>131</v>
      </c>
      <c r="E101" s="85">
        <f>84.384</f>
        <v>84.384</v>
      </c>
      <c r="F101" s="85"/>
      <c r="G101" s="85"/>
      <c r="H101" s="85"/>
      <c r="I101" s="88">
        <v>84.384</v>
      </c>
      <c r="J101" s="44" t="s">
        <v>27</v>
      </c>
    </row>
    <row r="102" spans="1:10" ht="52.8" x14ac:dyDescent="0.25">
      <c r="A102" s="39" t="s">
        <v>135</v>
      </c>
      <c r="B102" s="16" t="s">
        <v>136</v>
      </c>
      <c r="C102" s="16" t="s">
        <v>14</v>
      </c>
      <c r="D102" s="17" t="s">
        <v>137</v>
      </c>
      <c r="E102" s="16" t="s">
        <v>138</v>
      </c>
      <c r="F102" s="27">
        <v>84.384</v>
      </c>
      <c r="G102" s="67">
        <v>282.12</v>
      </c>
      <c r="H102" s="67">
        <v>340.23</v>
      </c>
      <c r="I102" s="18">
        <v>28709.96</v>
      </c>
      <c r="J102" s="40">
        <v>1.6402770910524305E-3</v>
      </c>
    </row>
    <row r="103" spans="1:10" x14ac:dyDescent="0.25">
      <c r="A103" s="43" t="s">
        <v>24</v>
      </c>
      <c r="B103" s="83"/>
      <c r="C103" s="83"/>
      <c r="D103" s="84" t="s">
        <v>3</v>
      </c>
      <c r="E103" s="85" t="s">
        <v>25</v>
      </c>
      <c r="F103" s="85"/>
      <c r="G103" s="85"/>
      <c r="H103" s="86"/>
      <c r="I103" s="87" t="s">
        <v>1911</v>
      </c>
      <c r="J103" s="44"/>
    </row>
    <row r="104" spans="1:10" ht="26.4" x14ac:dyDescent="0.25">
      <c r="A104" s="51"/>
      <c r="B104" s="83"/>
      <c r="C104" s="83"/>
      <c r="D104" s="84" t="s">
        <v>131</v>
      </c>
      <c r="E104" s="85">
        <f>84.384</f>
        <v>84.384</v>
      </c>
      <c r="F104" s="85"/>
      <c r="G104" s="85"/>
      <c r="H104" s="85"/>
      <c r="I104" s="88">
        <v>84.384</v>
      </c>
      <c r="J104" s="44" t="s">
        <v>27</v>
      </c>
    </row>
    <row r="105" spans="1:10" ht="39.6" x14ac:dyDescent="0.25">
      <c r="A105" s="39" t="s">
        <v>139</v>
      </c>
      <c r="B105" s="16" t="s">
        <v>140</v>
      </c>
      <c r="C105" s="16" t="s">
        <v>21</v>
      </c>
      <c r="D105" s="17" t="s">
        <v>141</v>
      </c>
      <c r="E105" s="16" t="s">
        <v>23</v>
      </c>
      <c r="F105" s="27">
        <v>84.384</v>
      </c>
      <c r="G105" s="67">
        <v>57.1</v>
      </c>
      <c r="H105" s="67">
        <v>68.86</v>
      </c>
      <c r="I105" s="18">
        <v>5810.68</v>
      </c>
      <c r="J105" s="40">
        <v>3.3197974805386477E-4</v>
      </c>
    </row>
    <row r="106" spans="1:10" x14ac:dyDescent="0.25">
      <c r="A106" s="43" t="s">
        <v>24</v>
      </c>
      <c r="B106" s="83"/>
      <c r="C106" s="83"/>
      <c r="D106" s="84" t="s">
        <v>3</v>
      </c>
      <c r="E106" s="85" t="s">
        <v>25</v>
      </c>
      <c r="F106" s="85"/>
      <c r="G106" s="85"/>
      <c r="H106" s="86"/>
      <c r="I106" s="87" t="s">
        <v>1911</v>
      </c>
      <c r="J106" s="44"/>
    </row>
    <row r="107" spans="1:10" ht="26.4" x14ac:dyDescent="0.25">
      <c r="A107" s="51"/>
      <c r="B107" s="83"/>
      <c r="C107" s="83"/>
      <c r="D107" s="84" t="s">
        <v>131</v>
      </c>
      <c r="E107" s="85">
        <f>84.384</f>
        <v>84.384</v>
      </c>
      <c r="F107" s="85"/>
      <c r="G107" s="85"/>
      <c r="H107" s="85"/>
      <c r="I107" s="88">
        <v>84.384</v>
      </c>
      <c r="J107" s="44" t="s">
        <v>27</v>
      </c>
    </row>
    <row r="108" spans="1:10" x14ac:dyDescent="0.25">
      <c r="A108" s="41" t="s">
        <v>142</v>
      </c>
      <c r="B108" s="13"/>
      <c r="C108" s="13"/>
      <c r="D108" s="14" t="s">
        <v>143</v>
      </c>
      <c r="E108" s="14"/>
      <c r="F108" s="26">
        <v>1</v>
      </c>
      <c r="G108" s="66"/>
      <c r="H108" s="66"/>
      <c r="I108" s="15">
        <v>31095.14</v>
      </c>
      <c r="J108" s="42">
        <v>1.7765488278307622E-3</v>
      </c>
    </row>
    <row r="109" spans="1:10" ht="26.4" x14ac:dyDescent="0.25">
      <c r="A109" s="39" t="s">
        <v>144</v>
      </c>
      <c r="B109" s="16" t="s">
        <v>145</v>
      </c>
      <c r="C109" s="16" t="s">
        <v>21</v>
      </c>
      <c r="D109" s="17" t="s">
        <v>146</v>
      </c>
      <c r="E109" s="16" t="s">
        <v>23</v>
      </c>
      <c r="F109" s="27">
        <v>66.874200000000002</v>
      </c>
      <c r="G109" s="67">
        <v>47.42</v>
      </c>
      <c r="H109" s="67">
        <v>57.18</v>
      </c>
      <c r="I109" s="18">
        <v>3823.86</v>
      </c>
      <c r="J109" s="40">
        <v>2.1846738753351612E-4</v>
      </c>
    </row>
    <row r="110" spans="1:10" x14ac:dyDescent="0.25">
      <c r="A110" s="43" t="s">
        <v>24</v>
      </c>
      <c r="B110" s="83"/>
      <c r="C110" s="83"/>
      <c r="D110" s="84" t="s">
        <v>3</v>
      </c>
      <c r="E110" s="85" t="s">
        <v>25</v>
      </c>
      <c r="F110" s="85"/>
      <c r="G110" s="85"/>
      <c r="H110" s="86"/>
      <c r="I110" s="87" t="s">
        <v>1911</v>
      </c>
      <c r="J110" s="44"/>
    </row>
    <row r="111" spans="1:10" x14ac:dyDescent="0.25">
      <c r="A111" s="51"/>
      <c r="B111" s="83"/>
      <c r="C111" s="83"/>
      <c r="D111" s="84" t="s">
        <v>147</v>
      </c>
      <c r="E111" s="85">
        <f>66.8742</f>
        <v>66.874200000000002</v>
      </c>
      <c r="F111" s="85"/>
      <c r="G111" s="85"/>
      <c r="H111" s="85"/>
      <c r="I111" s="88">
        <v>66.874200000000002</v>
      </c>
      <c r="J111" s="44" t="s">
        <v>27</v>
      </c>
    </row>
    <row r="112" spans="1:10" ht="52.8" x14ac:dyDescent="0.25">
      <c r="A112" s="39" t="s">
        <v>148</v>
      </c>
      <c r="B112" s="16" t="s">
        <v>149</v>
      </c>
      <c r="C112" s="16" t="s">
        <v>21</v>
      </c>
      <c r="D112" s="17" t="s">
        <v>150</v>
      </c>
      <c r="E112" s="16" t="s">
        <v>23</v>
      </c>
      <c r="F112" s="27">
        <v>66.874200000000002</v>
      </c>
      <c r="G112" s="67">
        <v>56.03</v>
      </c>
      <c r="H112" s="67">
        <v>67.569999999999993</v>
      </c>
      <c r="I112" s="18">
        <v>4518.68</v>
      </c>
      <c r="J112" s="40">
        <v>2.5816431948344048E-4</v>
      </c>
    </row>
    <row r="113" spans="1:10" x14ac:dyDescent="0.25">
      <c r="A113" s="43" t="s">
        <v>24</v>
      </c>
      <c r="B113" s="83"/>
      <c r="C113" s="83"/>
      <c r="D113" s="84" t="s">
        <v>3</v>
      </c>
      <c r="E113" s="85" t="s">
        <v>25</v>
      </c>
      <c r="F113" s="85"/>
      <c r="G113" s="85"/>
      <c r="H113" s="86"/>
      <c r="I113" s="87" t="s">
        <v>1911</v>
      </c>
      <c r="J113" s="44"/>
    </row>
    <row r="114" spans="1:10" x14ac:dyDescent="0.25">
      <c r="A114" s="51"/>
      <c r="B114" s="83"/>
      <c r="C114" s="83"/>
      <c r="D114" s="84" t="s">
        <v>147</v>
      </c>
      <c r="E114" s="85">
        <f>66.8742</f>
        <v>66.874200000000002</v>
      </c>
      <c r="F114" s="85"/>
      <c r="G114" s="85"/>
      <c r="H114" s="85"/>
      <c r="I114" s="88">
        <v>66.874200000000002</v>
      </c>
      <c r="J114" s="44" t="s">
        <v>27</v>
      </c>
    </row>
    <row r="115" spans="1:10" ht="52.8" x14ac:dyDescent="0.25">
      <c r="A115" s="39" t="s">
        <v>151</v>
      </c>
      <c r="B115" s="16" t="s">
        <v>136</v>
      </c>
      <c r="C115" s="16" t="s">
        <v>14</v>
      </c>
      <c r="D115" s="17" t="s">
        <v>137</v>
      </c>
      <c r="E115" s="16" t="s">
        <v>138</v>
      </c>
      <c r="F115" s="27">
        <v>66.874200000000002</v>
      </c>
      <c r="G115" s="67">
        <v>282.12</v>
      </c>
      <c r="H115" s="67">
        <v>340.23</v>
      </c>
      <c r="I115" s="18">
        <v>22752.6</v>
      </c>
      <c r="J115" s="40">
        <v>1.2999171208138056E-3</v>
      </c>
    </row>
    <row r="116" spans="1:10" x14ac:dyDescent="0.25">
      <c r="A116" s="43" t="s">
        <v>24</v>
      </c>
      <c r="B116" s="83"/>
      <c r="C116" s="83"/>
      <c r="D116" s="84" t="s">
        <v>3</v>
      </c>
      <c r="E116" s="85" t="s">
        <v>25</v>
      </c>
      <c r="F116" s="85"/>
      <c r="G116" s="85"/>
      <c r="H116" s="86"/>
      <c r="I116" s="87" t="s">
        <v>1911</v>
      </c>
      <c r="J116" s="44"/>
    </row>
    <row r="117" spans="1:10" x14ac:dyDescent="0.25">
      <c r="A117" s="51"/>
      <c r="B117" s="83"/>
      <c r="C117" s="83"/>
      <c r="D117" s="84" t="s">
        <v>147</v>
      </c>
      <c r="E117" s="85">
        <f>66.8742</f>
        <v>66.874200000000002</v>
      </c>
      <c r="F117" s="85"/>
      <c r="G117" s="85"/>
      <c r="H117" s="85"/>
      <c r="I117" s="88">
        <v>66.874200000000002</v>
      </c>
      <c r="J117" s="44" t="s">
        <v>27</v>
      </c>
    </row>
    <row r="118" spans="1:10" x14ac:dyDescent="0.25">
      <c r="A118" s="41" t="s">
        <v>152</v>
      </c>
      <c r="B118" s="13"/>
      <c r="C118" s="13"/>
      <c r="D118" s="14" t="s">
        <v>153</v>
      </c>
      <c r="E118" s="14"/>
      <c r="F118" s="26">
        <v>1</v>
      </c>
      <c r="G118" s="66"/>
      <c r="H118" s="66"/>
      <c r="I118" s="15">
        <v>124586.73</v>
      </c>
      <c r="J118" s="42">
        <v>7.1179743569177584E-3</v>
      </c>
    </row>
    <row r="119" spans="1:10" ht="26.4" x14ac:dyDescent="0.25">
      <c r="A119" s="39" t="s">
        <v>154</v>
      </c>
      <c r="B119" s="16" t="s">
        <v>145</v>
      </c>
      <c r="C119" s="16" t="s">
        <v>21</v>
      </c>
      <c r="D119" s="17" t="s">
        <v>146</v>
      </c>
      <c r="E119" s="16" t="s">
        <v>23</v>
      </c>
      <c r="F119" s="27">
        <v>7.84</v>
      </c>
      <c r="G119" s="67">
        <v>47.42</v>
      </c>
      <c r="H119" s="67">
        <v>57.18</v>
      </c>
      <c r="I119" s="18">
        <v>448.29</v>
      </c>
      <c r="J119" s="40">
        <v>2.5612011202659078E-5</v>
      </c>
    </row>
    <row r="120" spans="1:10" x14ac:dyDescent="0.25">
      <c r="A120" s="43" t="s">
        <v>24</v>
      </c>
      <c r="B120" s="83"/>
      <c r="C120" s="83"/>
      <c r="D120" s="84" t="s">
        <v>3</v>
      </c>
      <c r="E120" s="85" t="s">
        <v>25</v>
      </c>
      <c r="F120" s="85"/>
      <c r="G120" s="85"/>
      <c r="H120" s="86"/>
      <c r="I120" s="87" t="s">
        <v>1911</v>
      </c>
      <c r="J120" s="44"/>
    </row>
    <row r="121" spans="1:10" ht="26.4" x14ac:dyDescent="0.25">
      <c r="A121" s="51"/>
      <c r="B121" s="83"/>
      <c r="C121" s="83"/>
      <c r="D121" s="84" t="s">
        <v>155</v>
      </c>
      <c r="E121" s="85">
        <f>7.84</f>
        <v>7.84</v>
      </c>
      <c r="F121" s="85"/>
      <c r="G121" s="85"/>
      <c r="H121" s="85"/>
      <c r="I121" s="88">
        <v>7.84</v>
      </c>
      <c r="J121" s="44" t="s">
        <v>27</v>
      </c>
    </row>
    <row r="122" spans="1:10" ht="39.6" x14ac:dyDescent="0.25">
      <c r="A122" s="39" t="s">
        <v>156</v>
      </c>
      <c r="B122" s="16" t="s">
        <v>1912</v>
      </c>
      <c r="C122" s="16" t="s">
        <v>70</v>
      </c>
      <c r="D122" s="17" t="s">
        <v>1913</v>
      </c>
      <c r="E122" s="16" t="s">
        <v>1083</v>
      </c>
      <c r="F122" s="27">
        <v>2</v>
      </c>
      <c r="G122" s="67">
        <v>51467.02</v>
      </c>
      <c r="H122" s="67">
        <v>62069.22</v>
      </c>
      <c r="I122" s="18">
        <v>124138.44</v>
      </c>
      <c r="J122" s="40">
        <v>7.0923623457150994E-3</v>
      </c>
    </row>
    <row r="123" spans="1:10" x14ac:dyDescent="0.25">
      <c r="A123" s="43" t="s">
        <v>24</v>
      </c>
      <c r="B123" s="83"/>
      <c r="C123" s="83"/>
      <c r="D123" s="84" t="s">
        <v>3</v>
      </c>
      <c r="E123" s="85" t="s">
        <v>25</v>
      </c>
      <c r="F123" s="85"/>
      <c r="G123" s="85"/>
      <c r="H123" s="86"/>
      <c r="I123" s="87" t="s">
        <v>1911</v>
      </c>
      <c r="J123" s="44"/>
    </row>
    <row r="124" spans="1:10" ht="26.4" x14ac:dyDescent="0.25">
      <c r="A124" s="51"/>
      <c r="B124" s="83"/>
      <c r="C124" s="83"/>
      <c r="D124" s="84" t="s">
        <v>1914</v>
      </c>
      <c r="E124" s="85">
        <f>2</f>
        <v>2</v>
      </c>
      <c r="F124" s="85"/>
      <c r="G124" s="85"/>
      <c r="H124" s="85"/>
      <c r="I124" s="88">
        <v>2</v>
      </c>
      <c r="J124" s="44" t="s">
        <v>27</v>
      </c>
    </row>
    <row r="125" spans="1:10" x14ac:dyDescent="0.25">
      <c r="A125" s="41" t="s">
        <v>157</v>
      </c>
      <c r="B125" s="13"/>
      <c r="C125" s="13"/>
      <c r="D125" s="14" t="s">
        <v>158</v>
      </c>
      <c r="E125" s="14"/>
      <c r="F125" s="26">
        <v>1</v>
      </c>
      <c r="G125" s="66"/>
      <c r="H125" s="66"/>
      <c r="I125" s="15">
        <v>57661.16</v>
      </c>
      <c r="J125" s="42">
        <v>3.2943368709503168E-3</v>
      </c>
    </row>
    <row r="126" spans="1:10" x14ac:dyDescent="0.25">
      <c r="A126" s="39" t="s">
        <v>159</v>
      </c>
      <c r="B126" s="16" t="s">
        <v>160</v>
      </c>
      <c r="C126" s="16" t="s">
        <v>21</v>
      </c>
      <c r="D126" s="17" t="s">
        <v>161</v>
      </c>
      <c r="E126" s="16" t="s">
        <v>89</v>
      </c>
      <c r="F126" s="27">
        <v>44.7</v>
      </c>
      <c r="G126" s="67">
        <v>9.4600000000000009</v>
      </c>
      <c r="H126" s="67">
        <v>11.4</v>
      </c>
      <c r="I126" s="18">
        <v>509.58</v>
      </c>
      <c r="J126" s="40">
        <v>2.9113673444982072E-5</v>
      </c>
    </row>
    <row r="127" spans="1:10" x14ac:dyDescent="0.25">
      <c r="A127" s="43" t="s">
        <v>24</v>
      </c>
      <c r="B127" s="83"/>
      <c r="C127" s="83"/>
      <c r="D127" s="84" t="s">
        <v>3</v>
      </c>
      <c r="E127" s="85" t="s">
        <v>25</v>
      </c>
      <c r="F127" s="85"/>
      <c r="G127" s="85"/>
      <c r="H127" s="86"/>
      <c r="I127" s="87" t="s">
        <v>1911</v>
      </c>
      <c r="J127" s="44"/>
    </row>
    <row r="128" spans="1:10" ht="26.4" x14ac:dyDescent="0.25">
      <c r="A128" s="51"/>
      <c r="B128" s="83"/>
      <c r="C128" s="83"/>
      <c r="D128" s="84" t="s">
        <v>31</v>
      </c>
      <c r="E128" s="85">
        <f>44.7</f>
        <v>44.7</v>
      </c>
      <c r="F128" s="85"/>
      <c r="G128" s="85"/>
      <c r="H128" s="85"/>
      <c r="I128" s="88">
        <v>44.7</v>
      </c>
      <c r="J128" s="44" t="s">
        <v>27</v>
      </c>
    </row>
    <row r="129" spans="1:10" x14ac:dyDescent="0.25">
      <c r="A129" s="39" t="s">
        <v>162</v>
      </c>
      <c r="B129" s="16" t="s">
        <v>163</v>
      </c>
      <c r="C129" s="16" t="s">
        <v>21</v>
      </c>
      <c r="D129" s="17" t="s">
        <v>164</v>
      </c>
      <c r="E129" s="16" t="s">
        <v>89</v>
      </c>
      <c r="F129" s="27">
        <v>108.4</v>
      </c>
      <c r="G129" s="67">
        <v>9.56</v>
      </c>
      <c r="H129" s="67">
        <v>11.52</v>
      </c>
      <c r="I129" s="18">
        <v>1248.76</v>
      </c>
      <c r="J129" s="40">
        <v>7.134501128607051E-5</v>
      </c>
    </row>
    <row r="130" spans="1:10" x14ac:dyDescent="0.25">
      <c r="A130" s="43" t="s">
        <v>24</v>
      </c>
      <c r="B130" s="83"/>
      <c r="C130" s="83"/>
      <c r="D130" s="84" t="s">
        <v>3</v>
      </c>
      <c r="E130" s="85" t="s">
        <v>25</v>
      </c>
      <c r="F130" s="85"/>
      <c r="G130" s="85"/>
      <c r="H130" s="86"/>
      <c r="I130" s="87" t="s">
        <v>1911</v>
      </c>
      <c r="J130" s="44"/>
    </row>
    <row r="131" spans="1:10" ht="26.4" x14ac:dyDescent="0.25">
      <c r="A131" s="51"/>
      <c r="B131" s="83"/>
      <c r="C131" s="83"/>
      <c r="D131" s="84" t="s">
        <v>31</v>
      </c>
      <c r="E131" s="85">
        <f>108.4</f>
        <v>108.4</v>
      </c>
      <c r="F131" s="85"/>
      <c r="G131" s="85"/>
      <c r="H131" s="85"/>
      <c r="I131" s="88">
        <v>108.4</v>
      </c>
      <c r="J131" s="44" t="s">
        <v>27</v>
      </c>
    </row>
    <row r="132" spans="1:10" x14ac:dyDescent="0.25">
      <c r="A132" s="39" t="s">
        <v>165</v>
      </c>
      <c r="B132" s="16" t="s">
        <v>166</v>
      </c>
      <c r="C132" s="16" t="s">
        <v>21</v>
      </c>
      <c r="D132" s="17" t="s">
        <v>167</v>
      </c>
      <c r="E132" s="16" t="s">
        <v>89</v>
      </c>
      <c r="F132" s="27">
        <v>277.2</v>
      </c>
      <c r="G132" s="67">
        <v>9.51</v>
      </c>
      <c r="H132" s="67">
        <v>11.46</v>
      </c>
      <c r="I132" s="18">
        <v>3176.71</v>
      </c>
      <c r="J132" s="40">
        <v>1.8149397066095411E-4</v>
      </c>
    </row>
    <row r="133" spans="1:10" x14ac:dyDescent="0.25">
      <c r="A133" s="43" t="s">
        <v>24</v>
      </c>
      <c r="B133" s="83"/>
      <c r="C133" s="83"/>
      <c r="D133" s="84" t="s">
        <v>3</v>
      </c>
      <c r="E133" s="85" t="s">
        <v>25</v>
      </c>
      <c r="F133" s="85"/>
      <c r="G133" s="85"/>
      <c r="H133" s="86"/>
      <c r="I133" s="87" t="s">
        <v>1911</v>
      </c>
      <c r="J133" s="44"/>
    </row>
    <row r="134" spans="1:10" ht="26.4" x14ac:dyDescent="0.25">
      <c r="A134" s="51"/>
      <c r="B134" s="83"/>
      <c r="C134" s="83"/>
      <c r="D134" s="84" t="s">
        <v>31</v>
      </c>
      <c r="E134" s="85">
        <f>277.2</f>
        <v>277.2</v>
      </c>
      <c r="F134" s="85"/>
      <c r="G134" s="85"/>
      <c r="H134" s="85"/>
      <c r="I134" s="88">
        <v>277.2</v>
      </c>
      <c r="J134" s="44" t="s">
        <v>27</v>
      </c>
    </row>
    <row r="135" spans="1:10" x14ac:dyDescent="0.25">
      <c r="A135" s="39" t="s">
        <v>168</v>
      </c>
      <c r="B135" s="16" t="s">
        <v>169</v>
      </c>
      <c r="C135" s="16" t="s">
        <v>21</v>
      </c>
      <c r="D135" s="17" t="s">
        <v>170</v>
      </c>
      <c r="E135" s="16" t="s">
        <v>89</v>
      </c>
      <c r="F135" s="27">
        <v>112.8</v>
      </c>
      <c r="G135" s="67">
        <v>8.7799999999999994</v>
      </c>
      <c r="H135" s="67">
        <v>10.58</v>
      </c>
      <c r="I135" s="18">
        <v>1193.42</v>
      </c>
      <c r="J135" s="40">
        <v>6.8183288517427107E-5</v>
      </c>
    </row>
    <row r="136" spans="1:10" x14ac:dyDescent="0.25">
      <c r="A136" s="43" t="s">
        <v>24</v>
      </c>
      <c r="B136" s="83"/>
      <c r="C136" s="83"/>
      <c r="D136" s="84" t="s">
        <v>3</v>
      </c>
      <c r="E136" s="85" t="s">
        <v>25</v>
      </c>
      <c r="F136" s="85"/>
      <c r="G136" s="85"/>
      <c r="H136" s="86"/>
      <c r="I136" s="87" t="s">
        <v>1911</v>
      </c>
      <c r="J136" s="44"/>
    </row>
    <row r="137" spans="1:10" ht="26.4" x14ac:dyDescent="0.25">
      <c r="A137" s="51"/>
      <c r="B137" s="83"/>
      <c r="C137" s="83"/>
      <c r="D137" s="84" t="s">
        <v>31</v>
      </c>
      <c r="E137" s="85">
        <f>112.8</f>
        <v>112.8</v>
      </c>
      <c r="F137" s="85"/>
      <c r="G137" s="85"/>
      <c r="H137" s="85"/>
      <c r="I137" s="88">
        <v>112.8</v>
      </c>
      <c r="J137" s="44" t="s">
        <v>27</v>
      </c>
    </row>
    <row r="138" spans="1:10" ht="26.4" x14ac:dyDescent="0.25">
      <c r="A138" s="39" t="s">
        <v>171</v>
      </c>
      <c r="B138" s="16" t="s">
        <v>172</v>
      </c>
      <c r="C138" s="16" t="s">
        <v>21</v>
      </c>
      <c r="D138" s="17" t="s">
        <v>173</v>
      </c>
      <c r="E138" s="16" t="s">
        <v>23</v>
      </c>
      <c r="F138" s="27">
        <v>58.27</v>
      </c>
      <c r="G138" s="67">
        <v>180.25</v>
      </c>
      <c r="H138" s="67">
        <v>217.38</v>
      </c>
      <c r="I138" s="18">
        <v>12666.73</v>
      </c>
      <c r="J138" s="40">
        <v>7.2368429066242343E-4</v>
      </c>
    </row>
    <row r="139" spans="1:10" x14ac:dyDescent="0.25">
      <c r="A139" s="43" t="s">
        <v>24</v>
      </c>
      <c r="B139" s="83"/>
      <c r="C139" s="83"/>
      <c r="D139" s="84" t="s">
        <v>3</v>
      </c>
      <c r="E139" s="85" t="s">
        <v>25</v>
      </c>
      <c r="F139" s="85"/>
      <c r="G139" s="85"/>
      <c r="H139" s="86"/>
      <c r="I139" s="87" t="s">
        <v>1911</v>
      </c>
      <c r="J139" s="44"/>
    </row>
    <row r="140" spans="1:10" ht="26.4" x14ac:dyDescent="0.25">
      <c r="A140" s="51"/>
      <c r="B140" s="83"/>
      <c r="C140" s="83"/>
      <c r="D140" s="84" t="s">
        <v>31</v>
      </c>
      <c r="E140" s="85">
        <f>58.27</f>
        <v>58.27</v>
      </c>
      <c r="F140" s="85"/>
      <c r="G140" s="85"/>
      <c r="H140" s="85"/>
      <c r="I140" s="88">
        <v>58.27</v>
      </c>
      <c r="J140" s="44" t="s">
        <v>27</v>
      </c>
    </row>
    <row r="141" spans="1:10" ht="26.4" x14ac:dyDescent="0.25">
      <c r="A141" s="39" t="s">
        <v>174</v>
      </c>
      <c r="B141" s="16" t="s">
        <v>175</v>
      </c>
      <c r="C141" s="16" t="s">
        <v>21</v>
      </c>
      <c r="D141" s="17" t="s">
        <v>176</v>
      </c>
      <c r="E141" s="16" t="s">
        <v>23</v>
      </c>
      <c r="F141" s="27">
        <v>22.5</v>
      </c>
      <c r="G141" s="67">
        <v>158.59</v>
      </c>
      <c r="H141" s="67">
        <v>191.25</v>
      </c>
      <c r="I141" s="18">
        <v>4303.12</v>
      </c>
      <c r="J141" s="40">
        <v>2.458487979798486E-4</v>
      </c>
    </row>
    <row r="142" spans="1:10" x14ac:dyDescent="0.25">
      <c r="A142" s="43" t="s">
        <v>24</v>
      </c>
      <c r="B142" s="83"/>
      <c r="C142" s="83"/>
      <c r="D142" s="84" t="s">
        <v>3</v>
      </c>
      <c r="E142" s="85" t="s">
        <v>25</v>
      </c>
      <c r="F142" s="85"/>
      <c r="G142" s="85"/>
      <c r="H142" s="86"/>
      <c r="I142" s="87" t="s">
        <v>1911</v>
      </c>
      <c r="J142" s="44"/>
    </row>
    <row r="143" spans="1:10" ht="26.4" x14ac:dyDescent="0.25">
      <c r="A143" s="51"/>
      <c r="B143" s="83"/>
      <c r="C143" s="83"/>
      <c r="D143" s="84" t="s">
        <v>31</v>
      </c>
      <c r="E143" s="85">
        <f>22.5</f>
        <v>22.5</v>
      </c>
      <c r="F143" s="85"/>
      <c r="G143" s="85"/>
      <c r="H143" s="85"/>
      <c r="I143" s="88">
        <v>22.5</v>
      </c>
      <c r="J143" s="44" t="s">
        <v>27</v>
      </c>
    </row>
    <row r="144" spans="1:10" ht="39.6" x14ac:dyDescent="0.25">
      <c r="A144" s="39" t="s">
        <v>177</v>
      </c>
      <c r="B144" s="16" t="s">
        <v>178</v>
      </c>
      <c r="C144" s="16" t="s">
        <v>21</v>
      </c>
      <c r="D144" s="17" t="s">
        <v>179</v>
      </c>
      <c r="E144" s="16" t="s">
        <v>66</v>
      </c>
      <c r="F144" s="27">
        <v>14.13</v>
      </c>
      <c r="G144" s="67">
        <v>509.09</v>
      </c>
      <c r="H144" s="67">
        <v>613.96</v>
      </c>
      <c r="I144" s="18">
        <v>8675.25</v>
      </c>
      <c r="J144" s="40">
        <v>4.9564032252753386E-4</v>
      </c>
    </row>
    <row r="145" spans="1:10" x14ac:dyDescent="0.25">
      <c r="A145" s="43" t="s">
        <v>24</v>
      </c>
      <c r="B145" s="83"/>
      <c r="C145" s="83"/>
      <c r="D145" s="84" t="s">
        <v>3</v>
      </c>
      <c r="E145" s="85" t="s">
        <v>25</v>
      </c>
      <c r="F145" s="85"/>
      <c r="G145" s="85"/>
      <c r="H145" s="86"/>
      <c r="I145" s="87" t="s">
        <v>1911</v>
      </c>
      <c r="J145" s="44"/>
    </row>
    <row r="146" spans="1:10" ht="26.4" x14ac:dyDescent="0.25">
      <c r="A146" s="51"/>
      <c r="B146" s="83"/>
      <c r="C146" s="83"/>
      <c r="D146" s="84" t="s">
        <v>31</v>
      </c>
      <c r="E146" s="85">
        <f>14.13</f>
        <v>14.13</v>
      </c>
      <c r="F146" s="85"/>
      <c r="G146" s="85"/>
      <c r="H146" s="85"/>
      <c r="I146" s="88">
        <v>14.13</v>
      </c>
      <c r="J146" s="44" t="s">
        <v>27</v>
      </c>
    </row>
    <row r="147" spans="1:10" ht="26.4" x14ac:dyDescent="0.25">
      <c r="A147" s="39" t="s">
        <v>180</v>
      </c>
      <c r="B147" s="16" t="s">
        <v>104</v>
      </c>
      <c r="C147" s="16" t="s">
        <v>21</v>
      </c>
      <c r="D147" s="17" t="s">
        <v>105</v>
      </c>
      <c r="E147" s="16" t="s">
        <v>66</v>
      </c>
      <c r="F147" s="27">
        <v>14.13</v>
      </c>
      <c r="G147" s="67">
        <v>38.770000000000003</v>
      </c>
      <c r="H147" s="67">
        <v>46.75</v>
      </c>
      <c r="I147" s="18">
        <v>660.57</v>
      </c>
      <c r="J147" s="40">
        <v>3.7740137500592266E-5</v>
      </c>
    </row>
    <row r="148" spans="1:10" x14ac:dyDescent="0.25">
      <c r="A148" s="43" t="s">
        <v>24</v>
      </c>
      <c r="B148" s="83"/>
      <c r="C148" s="83"/>
      <c r="D148" s="84" t="s">
        <v>3</v>
      </c>
      <c r="E148" s="85" t="s">
        <v>25</v>
      </c>
      <c r="F148" s="85"/>
      <c r="G148" s="85"/>
      <c r="H148" s="86"/>
      <c r="I148" s="87" t="s">
        <v>1911</v>
      </c>
      <c r="J148" s="44"/>
    </row>
    <row r="149" spans="1:10" ht="26.4" x14ac:dyDescent="0.25">
      <c r="A149" s="51"/>
      <c r="B149" s="83"/>
      <c r="C149" s="83"/>
      <c r="D149" s="84" t="s">
        <v>31</v>
      </c>
      <c r="E149" s="85">
        <f>14.13</f>
        <v>14.13</v>
      </c>
      <c r="F149" s="85"/>
      <c r="G149" s="85"/>
      <c r="H149" s="85"/>
      <c r="I149" s="88">
        <v>14.13</v>
      </c>
      <c r="J149" s="44" t="s">
        <v>27</v>
      </c>
    </row>
    <row r="150" spans="1:10" ht="52.8" x14ac:dyDescent="0.25">
      <c r="A150" s="39" t="s">
        <v>181</v>
      </c>
      <c r="B150" s="16" t="s">
        <v>182</v>
      </c>
      <c r="C150" s="16" t="s">
        <v>21</v>
      </c>
      <c r="D150" s="17" t="s">
        <v>183</v>
      </c>
      <c r="E150" s="16" t="s">
        <v>23</v>
      </c>
      <c r="F150" s="27">
        <v>53.34</v>
      </c>
      <c r="G150" s="67">
        <v>128.99</v>
      </c>
      <c r="H150" s="67">
        <v>155.56</v>
      </c>
      <c r="I150" s="18">
        <v>8297.57</v>
      </c>
      <c r="J150" s="40">
        <v>4.7406245018815474E-4</v>
      </c>
    </row>
    <row r="151" spans="1:10" x14ac:dyDescent="0.25">
      <c r="A151" s="43" t="s">
        <v>24</v>
      </c>
      <c r="B151" s="83"/>
      <c r="C151" s="83"/>
      <c r="D151" s="84" t="s">
        <v>3</v>
      </c>
      <c r="E151" s="85" t="s">
        <v>25</v>
      </c>
      <c r="F151" s="85"/>
      <c r="G151" s="85"/>
      <c r="H151" s="86"/>
      <c r="I151" s="87" t="s">
        <v>1911</v>
      </c>
      <c r="J151" s="44"/>
    </row>
    <row r="152" spans="1:10" ht="26.4" x14ac:dyDescent="0.25">
      <c r="A152" s="51"/>
      <c r="B152" s="83"/>
      <c r="C152" s="83"/>
      <c r="D152" s="84" t="s">
        <v>31</v>
      </c>
      <c r="E152" s="85">
        <f>53.34</f>
        <v>53.34</v>
      </c>
      <c r="F152" s="85"/>
      <c r="G152" s="85"/>
      <c r="H152" s="85"/>
      <c r="I152" s="88">
        <v>53.34</v>
      </c>
      <c r="J152" s="44" t="s">
        <v>27</v>
      </c>
    </row>
    <row r="153" spans="1:10" ht="39.6" x14ac:dyDescent="0.25">
      <c r="A153" s="39" t="s">
        <v>184</v>
      </c>
      <c r="B153" s="16" t="s">
        <v>185</v>
      </c>
      <c r="C153" s="16" t="s">
        <v>21</v>
      </c>
      <c r="D153" s="17" t="s">
        <v>186</v>
      </c>
      <c r="E153" s="16" t="s">
        <v>23</v>
      </c>
      <c r="F153" s="27">
        <v>53.34</v>
      </c>
      <c r="G153" s="67">
        <v>4.26</v>
      </c>
      <c r="H153" s="67">
        <v>5.13</v>
      </c>
      <c r="I153" s="18">
        <v>273.63</v>
      </c>
      <c r="J153" s="40">
        <v>1.5633216501335303E-5</v>
      </c>
    </row>
    <row r="154" spans="1:10" x14ac:dyDescent="0.25">
      <c r="A154" s="43" t="s">
        <v>24</v>
      </c>
      <c r="B154" s="83"/>
      <c r="C154" s="83"/>
      <c r="D154" s="84" t="s">
        <v>3</v>
      </c>
      <c r="E154" s="85" t="s">
        <v>25</v>
      </c>
      <c r="F154" s="85"/>
      <c r="G154" s="85"/>
      <c r="H154" s="86"/>
      <c r="I154" s="87" t="s">
        <v>1911</v>
      </c>
      <c r="J154" s="44"/>
    </row>
    <row r="155" spans="1:10" ht="26.4" x14ac:dyDescent="0.25">
      <c r="A155" s="51"/>
      <c r="B155" s="83"/>
      <c r="C155" s="83"/>
      <c r="D155" s="84" t="s">
        <v>31</v>
      </c>
      <c r="E155" s="85">
        <f>53.34</f>
        <v>53.34</v>
      </c>
      <c r="F155" s="85"/>
      <c r="G155" s="85"/>
      <c r="H155" s="85"/>
      <c r="I155" s="88">
        <v>53.34</v>
      </c>
      <c r="J155" s="44" t="s">
        <v>27</v>
      </c>
    </row>
    <row r="156" spans="1:10" ht="52.8" x14ac:dyDescent="0.25">
      <c r="A156" s="39" t="s">
        <v>187</v>
      </c>
      <c r="B156" s="16" t="s">
        <v>188</v>
      </c>
      <c r="C156" s="16" t="s">
        <v>21</v>
      </c>
      <c r="D156" s="17" t="s">
        <v>189</v>
      </c>
      <c r="E156" s="16" t="s">
        <v>23</v>
      </c>
      <c r="F156" s="27">
        <v>53.34</v>
      </c>
      <c r="G156" s="67">
        <v>43.48</v>
      </c>
      <c r="H156" s="67">
        <v>52.43</v>
      </c>
      <c r="I156" s="18">
        <v>2796.61</v>
      </c>
      <c r="J156" s="40">
        <v>1.5977783722471704E-4</v>
      </c>
    </row>
    <row r="157" spans="1:10" x14ac:dyDescent="0.25">
      <c r="A157" s="43" t="s">
        <v>24</v>
      </c>
      <c r="B157" s="83"/>
      <c r="C157" s="83"/>
      <c r="D157" s="84" t="s">
        <v>3</v>
      </c>
      <c r="E157" s="85" t="s">
        <v>25</v>
      </c>
      <c r="F157" s="85"/>
      <c r="G157" s="85"/>
      <c r="H157" s="86"/>
      <c r="I157" s="87" t="s">
        <v>1911</v>
      </c>
      <c r="J157" s="44"/>
    </row>
    <row r="158" spans="1:10" ht="26.4" x14ac:dyDescent="0.25">
      <c r="A158" s="51"/>
      <c r="B158" s="83"/>
      <c r="C158" s="83"/>
      <c r="D158" s="84" t="s">
        <v>31</v>
      </c>
      <c r="E158" s="85">
        <f>53.34</f>
        <v>53.34</v>
      </c>
      <c r="F158" s="85"/>
      <c r="G158" s="85"/>
      <c r="H158" s="85"/>
      <c r="I158" s="88">
        <v>53.34</v>
      </c>
      <c r="J158" s="44" t="s">
        <v>27</v>
      </c>
    </row>
    <row r="159" spans="1:10" ht="39.6" x14ac:dyDescent="0.25">
      <c r="A159" s="39" t="s">
        <v>190</v>
      </c>
      <c r="B159" s="16" t="s">
        <v>140</v>
      </c>
      <c r="C159" s="16" t="s">
        <v>21</v>
      </c>
      <c r="D159" s="17" t="s">
        <v>141</v>
      </c>
      <c r="E159" s="16" t="s">
        <v>23</v>
      </c>
      <c r="F159" s="27">
        <v>53.34</v>
      </c>
      <c r="G159" s="67">
        <v>57.1</v>
      </c>
      <c r="H159" s="67">
        <v>68.86</v>
      </c>
      <c r="I159" s="18">
        <v>3672.99</v>
      </c>
      <c r="J159" s="40">
        <v>2.0984777940006417E-4</v>
      </c>
    </row>
    <row r="160" spans="1:10" x14ac:dyDescent="0.25">
      <c r="A160" s="43" t="s">
        <v>24</v>
      </c>
      <c r="B160" s="83"/>
      <c r="C160" s="83"/>
      <c r="D160" s="84" t="s">
        <v>3</v>
      </c>
      <c r="E160" s="85" t="s">
        <v>25</v>
      </c>
      <c r="F160" s="85"/>
      <c r="G160" s="85"/>
      <c r="H160" s="86"/>
      <c r="I160" s="87" t="s">
        <v>1911</v>
      </c>
      <c r="J160" s="44"/>
    </row>
    <row r="161" spans="1:10" ht="26.4" x14ac:dyDescent="0.25">
      <c r="A161" s="51"/>
      <c r="B161" s="83"/>
      <c r="C161" s="83"/>
      <c r="D161" s="84" t="s">
        <v>31</v>
      </c>
      <c r="E161" s="85">
        <f>53.34</f>
        <v>53.34</v>
      </c>
      <c r="F161" s="85"/>
      <c r="G161" s="85"/>
      <c r="H161" s="85"/>
      <c r="I161" s="88">
        <v>53.34</v>
      </c>
      <c r="J161" s="44" t="s">
        <v>27</v>
      </c>
    </row>
    <row r="162" spans="1:10" ht="39.6" x14ac:dyDescent="0.25">
      <c r="A162" s="39" t="s">
        <v>191</v>
      </c>
      <c r="B162" s="16" t="s">
        <v>192</v>
      </c>
      <c r="C162" s="16" t="s">
        <v>14</v>
      </c>
      <c r="D162" s="17" t="s">
        <v>193</v>
      </c>
      <c r="E162" s="16" t="s">
        <v>138</v>
      </c>
      <c r="F162" s="27">
        <v>34.11</v>
      </c>
      <c r="G162" s="67">
        <v>207.31</v>
      </c>
      <c r="H162" s="67">
        <v>250.01</v>
      </c>
      <c r="I162" s="18">
        <v>8527.84</v>
      </c>
      <c r="J162" s="40">
        <v>4.8721839348297795E-4</v>
      </c>
    </row>
    <row r="163" spans="1:10" x14ac:dyDescent="0.25">
      <c r="A163" s="43" t="s">
        <v>24</v>
      </c>
      <c r="B163" s="83"/>
      <c r="C163" s="83"/>
      <c r="D163" s="84" t="s">
        <v>3</v>
      </c>
      <c r="E163" s="85" t="s">
        <v>25</v>
      </c>
      <c r="F163" s="85"/>
      <c r="G163" s="85"/>
      <c r="H163" s="86"/>
      <c r="I163" s="87" t="s">
        <v>1911</v>
      </c>
      <c r="J163" s="44"/>
    </row>
    <row r="164" spans="1:10" ht="26.4" x14ac:dyDescent="0.25">
      <c r="A164" s="51"/>
      <c r="B164" s="83"/>
      <c r="C164" s="83"/>
      <c r="D164" s="84" t="s">
        <v>31</v>
      </c>
      <c r="E164" s="85">
        <f>34.11</f>
        <v>34.11</v>
      </c>
      <c r="F164" s="85"/>
      <c r="G164" s="85"/>
      <c r="H164" s="85"/>
      <c r="I164" s="88">
        <v>34.11</v>
      </c>
      <c r="J164" s="44" t="s">
        <v>27</v>
      </c>
    </row>
    <row r="165" spans="1:10" ht="26.4" x14ac:dyDescent="0.25">
      <c r="A165" s="39" t="s">
        <v>194</v>
      </c>
      <c r="B165" s="16" t="s">
        <v>195</v>
      </c>
      <c r="C165" s="16" t="s">
        <v>21</v>
      </c>
      <c r="D165" s="17" t="s">
        <v>196</v>
      </c>
      <c r="E165" s="16" t="s">
        <v>23</v>
      </c>
      <c r="F165" s="27">
        <v>34.11</v>
      </c>
      <c r="G165" s="67">
        <v>27.18</v>
      </c>
      <c r="H165" s="67">
        <v>32.770000000000003</v>
      </c>
      <c r="I165" s="18">
        <v>1117.78</v>
      </c>
      <c r="J165" s="40">
        <v>6.3861772250347468E-5</v>
      </c>
    </row>
    <row r="166" spans="1:10" x14ac:dyDescent="0.25">
      <c r="A166" s="43" t="s">
        <v>24</v>
      </c>
      <c r="B166" s="83"/>
      <c r="C166" s="83"/>
      <c r="D166" s="84" t="s">
        <v>3</v>
      </c>
      <c r="E166" s="85" t="s">
        <v>25</v>
      </c>
      <c r="F166" s="85"/>
      <c r="G166" s="85"/>
      <c r="H166" s="86"/>
      <c r="I166" s="87" t="s">
        <v>1911</v>
      </c>
      <c r="J166" s="44"/>
    </row>
    <row r="167" spans="1:10" ht="26.4" x14ac:dyDescent="0.25">
      <c r="A167" s="51"/>
      <c r="B167" s="83"/>
      <c r="C167" s="83"/>
      <c r="D167" s="84" t="s">
        <v>31</v>
      </c>
      <c r="E167" s="85">
        <f>34.11</f>
        <v>34.11</v>
      </c>
      <c r="F167" s="85"/>
      <c r="G167" s="85"/>
      <c r="H167" s="85"/>
      <c r="I167" s="88">
        <v>34.11</v>
      </c>
      <c r="J167" s="44" t="s">
        <v>27</v>
      </c>
    </row>
    <row r="168" spans="1:10" ht="26.4" x14ac:dyDescent="0.25">
      <c r="A168" s="39" t="s">
        <v>197</v>
      </c>
      <c r="B168" s="16" t="s">
        <v>123</v>
      </c>
      <c r="C168" s="16" t="s">
        <v>14</v>
      </c>
      <c r="D168" s="17" t="s">
        <v>124</v>
      </c>
      <c r="E168" s="16" t="s">
        <v>16</v>
      </c>
      <c r="F168" s="27">
        <v>1</v>
      </c>
      <c r="G168" s="67">
        <v>448.26</v>
      </c>
      <c r="H168" s="67">
        <v>540.6</v>
      </c>
      <c r="I168" s="18">
        <v>540.6</v>
      </c>
      <c r="J168" s="40">
        <v>3.088592932288808E-5</v>
      </c>
    </row>
    <row r="169" spans="1:10" x14ac:dyDescent="0.25">
      <c r="A169" s="43" t="s">
        <v>24</v>
      </c>
      <c r="B169" s="83"/>
      <c r="C169" s="83"/>
      <c r="D169" s="84" t="s">
        <v>3</v>
      </c>
      <c r="E169" s="85" t="s">
        <v>25</v>
      </c>
      <c r="F169" s="85"/>
      <c r="G169" s="85"/>
      <c r="H169" s="86"/>
      <c r="I169" s="87" t="s">
        <v>1911</v>
      </c>
      <c r="J169" s="44"/>
    </row>
    <row r="170" spans="1:10" ht="26.4" x14ac:dyDescent="0.25">
      <c r="A170" s="51"/>
      <c r="B170" s="83"/>
      <c r="C170" s="83"/>
      <c r="D170" s="84" t="s">
        <v>31</v>
      </c>
      <c r="E170" s="85">
        <f>1</f>
        <v>1</v>
      </c>
      <c r="F170" s="85"/>
      <c r="G170" s="85"/>
      <c r="H170" s="85"/>
      <c r="I170" s="88">
        <v>1</v>
      </c>
      <c r="J170" s="44" t="s">
        <v>27</v>
      </c>
    </row>
    <row r="171" spans="1:10" x14ac:dyDescent="0.25">
      <c r="A171" s="41" t="s">
        <v>198</v>
      </c>
      <c r="B171" s="13"/>
      <c r="C171" s="13"/>
      <c r="D171" s="14" t="s">
        <v>199</v>
      </c>
      <c r="E171" s="14"/>
      <c r="F171" s="26">
        <v>1</v>
      </c>
      <c r="G171" s="66"/>
      <c r="H171" s="66"/>
      <c r="I171" s="15">
        <v>186863.05</v>
      </c>
      <c r="J171" s="42">
        <v>1.0675987708766743E-2</v>
      </c>
    </row>
    <row r="172" spans="1:10" x14ac:dyDescent="0.25">
      <c r="A172" s="41" t="s">
        <v>200</v>
      </c>
      <c r="B172" s="13"/>
      <c r="C172" s="13"/>
      <c r="D172" s="14" t="s">
        <v>201</v>
      </c>
      <c r="E172" s="14"/>
      <c r="F172" s="26">
        <v>1</v>
      </c>
      <c r="G172" s="66"/>
      <c r="H172" s="66"/>
      <c r="I172" s="15">
        <v>186863.05</v>
      </c>
      <c r="J172" s="42">
        <v>1.0675987708766743E-2</v>
      </c>
    </row>
    <row r="173" spans="1:10" x14ac:dyDescent="0.25">
      <c r="A173" s="39" t="s">
        <v>202</v>
      </c>
      <c r="B173" s="16" t="s">
        <v>160</v>
      </c>
      <c r="C173" s="16" t="s">
        <v>21</v>
      </c>
      <c r="D173" s="17" t="s">
        <v>161</v>
      </c>
      <c r="E173" s="16" t="s">
        <v>89</v>
      </c>
      <c r="F173" s="27">
        <v>196.41</v>
      </c>
      <c r="G173" s="67">
        <v>9.4600000000000009</v>
      </c>
      <c r="H173" s="67">
        <v>11.4</v>
      </c>
      <c r="I173" s="18">
        <v>2239.0700000000002</v>
      </c>
      <c r="J173" s="40">
        <v>1.2792408022382356E-4</v>
      </c>
    </row>
    <row r="174" spans="1:10" x14ac:dyDescent="0.25">
      <c r="A174" s="43" t="s">
        <v>24</v>
      </c>
      <c r="B174" s="83"/>
      <c r="C174" s="83"/>
      <c r="D174" s="84" t="s">
        <v>3</v>
      </c>
      <c r="E174" s="85" t="s">
        <v>25</v>
      </c>
      <c r="F174" s="85"/>
      <c r="G174" s="85"/>
      <c r="H174" s="86"/>
      <c r="I174" s="87" t="s">
        <v>1911</v>
      </c>
      <c r="J174" s="44"/>
    </row>
    <row r="175" spans="1:10" ht="26.4" x14ac:dyDescent="0.25">
      <c r="A175" s="51"/>
      <c r="B175" s="83"/>
      <c r="C175" s="83"/>
      <c r="D175" s="84" t="s">
        <v>31</v>
      </c>
      <c r="E175" s="85">
        <f>196.41</f>
        <v>196.41</v>
      </c>
      <c r="F175" s="85"/>
      <c r="G175" s="85"/>
      <c r="H175" s="85"/>
      <c r="I175" s="88">
        <v>196.41</v>
      </c>
      <c r="J175" s="44" t="s">
        <v>27</v>
      </c>
    </row>
    <row r="176" spans="1:10" ht="26.4" x14ac:dyDescent="0.25">
      <c r="A176" s="39" t="s">
        <v>203</v>
      </c>
      <c r="B176" s="16" t="s">
        <v>204</v>
      </c>
      <c r="C176" s="16" t="s">
        <v>21</v>
      </c>
      <c r="D176" s="17" t="s">
        <v>205</v>
      </c>
      <c r="E176" s="16" t="s">
        <v>89</v>
      </c>
      <c r="F176" s="27">
        <v>519.4</v>
      </c>
      <c r="G176" s="67">
        <v>13.29</v>
      </c>
      <c r="H176" s="67">
        <v>16.02</v>
      </c>
      <c r="I176" s="18">
        <v>8320.7800000000007</v>
      </c>
      <c r="J176" s="40">
        <v>4.7538849979892835E-4</v>
      </c>
    </row>
    <row r="177" spans="1:10" x14ac:dyDescent="0.25">
      <c r="A177" s="43" t="s">
        <v>24</v>
      </c>
      <c r="B177" s="83"/>
      <c r="C177" s="83"/>
      <c r="D177" s="84" t="s">
        <v>3</v>
      </c>
      <c r="E177" s="85" t="s">
        <v>25</v>
      </c>
      <c r="F177" s="85"/>
      <c r="G177" s="85"/>
      <c r="H177" s="86"/>
      <c r="I177" s="87" t="s">
        <v>1911</v>
      </c>
      <c r="J177" s="44"/>
    </row>
    <row r="178" spans="1:10" ht="26.4" x14ac:dyDescent="0.25">
      <c r="A178" s="51"/>
      <c r="B178" s="83"/>
      <c r="C178" s="83"/>
      <c r="D178" s="84" t="s">
        <v>31</v>
      </c>
      <c r="E178" s="85">
        <f>519.4</f>
        <v>519.4</v>
      </c>
      <c r="F178" s="85"/>
      <c r="G178" s="85"/>
      <c r="H178" s="85"/>
      <c r="I178" s="88">
        <v>519.4</v>
      </c>
      <c r="J178" s="44" t="s">
        <v>27</v>
      </c>
    </row>
    <row r="179" spans="1:10" ht="26.4" x14ac:dyDescent="0.25">
      <c r="A179" s="39" t="s">
        <v>206</v>
      </c>
      <c r="B179" s="16" t="s">
        <v>87</v>
      </c>
      <c r="C179" s="16" t="s">
        <v>21</v>
      </c>
      <c r="D179" s="17" t="s">
        <v>88</v>
      </c>
      <c r="E179" s="16" t="s">
        <v>89</v>
      </c>
      <c r="F179" s="27">
        <v>1350</v>
      </c>
      <c r="G179" s="67">
        <v>12.42</v>
      </c>
      <c r="H179" s="67">
        <v>14.97</v>
      </c>
      <c r="I179" s="18">
        <v>20209.5</v>
      </c>
      <c r="J179" s="40">
        <v>1.154622990475225E-3</v>
      </c>
    </row>
    <row r="180" spans="1:10" x14ac:dyDescent="0.25">
      <c r="A180" s="43" t="s">
        <v>24</v>
      </c>
      <c r="B180" s="83"/>
      <c r="C180" s="83"/>
      <c r="D180" s="84" t="s">
        <v>3</v>
      </c>
      <c r="E180" s="85" t="s">
        <v>25</v>
      </c>
      <c r="F180" s="85"/>
      <c r="G180" s="85"/>
      <c r="H180" s="86"/>
      <c r="I180" s="87" t="s">
        <v>1911</v>
      </c>
      <c r="J180" s="44"/>
    </row>
    <row r="181" spans="1:10" ht="26.4" x14ac:dyDescent="0.25">
      <c r="A181" s="51"/>
      <c r="B181" s="83"/>
      <c r="C181" s="83"/>
      <c r="D181" s="84" t="s">
        <v>31</v>
      </c>
      <c r="E181" s="85">
        <f>1350</f>
        <v>1350</v>
      </c>
      <c r="F181" s="85"/>
      <c r="G181" s="85"/>
      <c r="H181" s="85"/>
      <c r="I181" s="88">
        <v>1350</v>
      </c>
      <c r="J181" s="44" t="s">
        <v>27</v>
      </c>
    </row>
    <row r="182" spans="1:10" ht="26.4" x14ac:dyDescent="0.25">
      <c r="A182" s="39" t="s">
        <v>207</v>
      </c>
      <c r="B182" s="16" t="s">
        <v>92</v>
      </c>
      <c r="C182" s="16" t="s">
        <v>21</v>
      </c>
      <c r="D182" s="17" t="s">
        <v>93</v>
      </c>
      <c r="E182" s="16" t="s">
        <v>89</v>
      </c>
      <c r="F182" s="27">
        <v>2061</v>
      </c>
      <c r="G182" s="67">
        <v>11.07</v>
      </c>
      <c r="H182" s="67">
        <v>13.35</v>
      </c>
      <c r="I182" s="18">
        <v>27514.35</v>
      </c>
      <c r="J182" s="40">
        <v>1.5719686819556152E-3</v>
      </c>
    </row>
    <row r="183" spans="1:10" x14ac:dyDescent="0.25">
      <c r="A183" s="43" t="s">
        <v>24</v>
      </c>
      <c r="B183" s="83"/>
      <c r="C183" s="83"/>
      <c r="D183" s="84" t="s">
        <v>3</v>
      </c>
      <c r="E183" s="85" t="s">
        <v>25</v>
      </c>
      <c r="F183" s="85"/>
      <c r="G183" s="85"/>
      <c r="H183" s="86"/>
      <c r="I183" s="87" t="s">
        <v>1911</v>
      </c>
      <c r="J183" s="44"/>
    </row>
    <row r="184" spans="1:10" ht="26.4" x14ac:dyDescent="0.25">
      <c r="A184" s="51"/>
      <c r="B184" s="83"/>
      <c r="C184" s="83"/>
      <c r="D184" s="84" t="s">
        <v>31</v>
      </c>
      <c r="E184" s="85">
        <f>2061</f>
        <v>2061</v>
      </c>
      <c r="F184" s="85"/>
      <c r="G184" s="85"/>
      <c r="H184" s="85"/>
      <c r="I184" s="88">
        <v>2061</v>
      </c>
      <c r="J184" s="44" t="s">
        <v>27</v>
      </c>
    </row>
    <row r="185" spans="1:10" ht="26.4" x14ac:dyDescent="0.25">
      <c r="A185" s="39" t="s">
        <v>208</v>
      </c>
      <c r="B185" s="16" t="s">
        <v>209</v>
      </c>
      <c r="C185" s="16" t="s">
        <v>21</v>
      </c>
      <c r="D185" s="17" t="s">
        <v>210</v>
      </c>
      <c r="E185" s="16" t="s">
        <v>89</v>
      </c>
      <c r="F185" s="27">
        <v>600.29999999999995</v>
      </c>
      <c r="G185" s="67">
        <v>9.35</v>
      </c>
      <c r="H185" s="67">
        <v>11.27</v>
      </c>
      <c r="I185" s="18">
        <v>6765.38</v>
      </c>
      <c r="J185" s="40">
        <v>3.8652432209115899E-4</v>
      </c>
    </row>
    <row r="186" spans="1:10" x14ac:dyDescent="0.25">
      <c r="A186" s="43" t="s">
        <v>24</v>
      </c>
      <c r="B186" s="83"/>
      <c r="C186" s="83"/>
      <c r="D186" s="84" t="s">
        <v>3</v>
      </c>
      <c r="E186" s="85" t="s">
        <v>25</v>
      </c>
      <c r="F186" s="85"/>
      <c r="G186" s="85"/>
      <c r="H186" s="86"/>
      <c r="I186" s="87" t="s">
        <v>1911</v>
      </c>
      <c r="J186" s="44"/>
    </row>
    <row r="187" spans="1:10" ht="26.4" x14ac:dyDescent="0.25">
      <c r="A187" s="51"/>
      <c r="B187" s="83"/>
      <c r="C187" s="83"/>
      <c r="D187" s="84" t="s">
        <v>31</v>
      </c>
      <c r="E187" s="85">
        <f>600.3</f>
        <v>600.29999999999995</v>
      </c>
      <c r="F187" s="85"/>
      <c r="G187" s="85"/>
      <c r="H187" s="85"/>
      <c r="I187" s="88">
        <v>600.29999999999995</v>
      </c>
      <c r="J187" s="44" t="s">
        <v>27</v>
      </c>
    </row>
    <row r="188" spans="1:10" ht="26.4" x14ac:dyDescent="0.25">
      <c r="A188" s="39" t="s">
        <v>211</v>
      </c>
      <c r="B188" s="16" t="s">
        <v>95</v>
      </c>
      <c r="C188" s="16" t="s">
        <v>21</v>
      </c>
      <c r="D188" s="17" t="s">
        <v>96</v>
      </c>
      <c r="E188" s="16" t="s">
        <v>89</v>
      </c>
      <c r="F188" s="27">
        <v>635</v>
      </c>
      <c r="G188" s="67">
        <v>8.83</v>
      </c>
      <c r="H188" s="67">
        <v>10.64</v>
      </c>
      <c r="I188" s="18">
        <v>6756.4</v>
      </c>
      <c r="J188" s="40">
        <v>3.8601127058298377E-4</v>
      </c>
    </row>
    <row r="189" spans="1:10" x14ac:dyDescent="0.25">
      <c r="A189" s="43" t="s">
        <v>24</v>
      </c>
      <c r="B189" s="83"/>
      <c r="C189" s="83"/>
      <c r="D189" s="84" t="s">
        <v>3</v>
      </c>
      <c r="E189" s="85" t="s">
        <v>25</v>
      </c>
      <c r="F189" s="85"/>
      <c r="G189" s="85"/>
      <c r="H189" s="86"/>
      <c r="I189" s="87" t="s">
        <v>1911</v>
      </c>
      <c r="J189" s="44"/>
    </row>
    <row r="190" spans="1:10" ht="26.4" x14ac:dyDescent="0.25">
      <c r="A190" s="51"/>
      <c r="B190" s="83"/>
      <c r="C190" s="83"/>
      <c r="D190" s="84" t="s">
        <v>31</v>
      </c>
      <c r="E190" s="85">
        <f>635</f>
        <v>635</v>
      </c>
      <c r="F190" s="85"/>
      <c r="G190" s="85"/>
      <c r="H190" s="85"/>
      <c r="I190" s="88">
        <v>635</v>
      </c>
      <c r="J190" s="44" t="s">
        <v>27</v>
      </c>
    </row>
    <row r="191" spans="1:10" ht="39.6" x14ac:dyDescent="0.25">
      <c r="A191" s="39" t="s">
        <v>212</v>
      </c>
      <c r="B191" s="16" t="s">
        <v>98</v>
      </c>
      <c r="C191" s="16" t="s">
        <v>21</v>
      </c>
      <c r="D191" s="17" t="s">
        <v>99</v>
      </c>
      <c r="E191" s="16" t="s">
        <v>23</v>
      </c>
      <c r="F191" s="27">
        <v>426.34</v>
      </c>
      <c r="G191" s="67">
        <v>40.08</v>
      </c>
      <c r="H191" s="67">
        <v>48.33</v>
      </c>
      <c r="I191" s="18">
        <v>20605.009999999998</v>
      </c>
      <c r="J191" s="40">
        <v>1.1772195385819498E-3</v>
      </c>
    </row>
    <row r="192" spans="1:10" x14ac:dyDescent="0.25">
      <c r="A192" s="43" t="s">
        <v>24</v>
      </c>
      <c r="B192" s="83"/>
      <c r="C192" s="83"/>
      <c r="D192" s="84" t="s">
        <v>3</v>
      </c>
      <c r="E192" s="85" t="s">
        <v>25</v>
      </c>
      <c r="F192" s="85"/>
      <c r="G192" s="85"/>
      <c r="H192" s="86"/>
      <c r="I192" s="87" t="s">
        <v>1911</v>
      </c>
      <c r="J192" s="44"/>
    </row>
    <row r="193" spans="1:10" ht="26.4" x14ac:dyDescent="0.25">
      <c r="A193" s="51"/>
      <c r="B193" s="83"/>
      <c r="C193" s="83"/>
      <c r="D193" s="84" t="s">
        <v>31</v>
      </c>
      <c r="E193" s="85">
        <f>426.34</f>
        <v>426.34</v>
      </c>
      <c r="F193" s="85"/>
      <c r="G193" s="85"/>
      <c r="H193" s="85"/>
      <c r="I193" s="88">
        <v>426.34</v>
      </c>
      <c r="J193" s="44" t="s">
        <v>27</v>
      </c>
    </row>
    <row r="194" spans="1:10" ht="39.6" x14ac:dyDescent="0.25">
      <c r="A194" s="39" t="s">
        <v>213</v>
      </c>
      <c r="B194" s="16" t="s">
        <v>214</v>
      </c>
      <c r="C194" s="16" t="s">
        <v>21</v>
      </c>
      <c r="D194" s="17" t="s">
        <v>215</v>
      </c>
      <c r="E194" s="16" t="s">
        <v>66</v>
      </c>
      <c r="F194" s="27">
        <v>42.64</v>
      </c>
      <c r="G194" s="67">
        <v>516.25</v>
      </c>
      <c r="H194" s="67">
        <v>622.59</v>
      </c>
      <c r="I194" s="18">
        <v>26547.23</v>
      </c>
      <c r="J194" s="40">
        <v>1.5167145199749428E-3</v>
      </c>
    </row>
    <row r="195" spans="1:10" x14ac:dyDescent="0.25">
      <c r="A195" s="43" t="s">
        <v>24</v>
      </c>
      <c r="B195" s="83"/>
      <c r="C195" s="83"/>
      <c r="D195" s="84" t="s">
        <v>3</v>
      </c>
      <c r="E195" s="85" t="s">
        <v>25</v>
      </c>
      <c r="F195" s="85"/>
      <c r="G195" s="85"/>
      <c r="H195" s="86"/>
      <c r="I195" s="87" t="s">
        <v>1911</v>
      </c>
      <c r="J195" s="44"/>
    </row>
    <row r="196" spans="1:10" ht="26.4" x14ac:dyDescent="0.25">
      <c r="A196" s="51"/>
      <c r="B196" s="83"/>
      <c r="C196" s="83"/>
      <c r="D196" s="84" t="s">
        <v>31</v>
      </c>
      <c r="E196" s="85">
        <f>42.64</f>
        <v>42.64</v>
      </c>
      <c r="F196" s="85"/>
      <c r="G196" s="85"/>
      <c r="H196" s="85"/>
      <c r="I196" s="88">
        <v>42.64</v>
      </c>
      <c r="J196" s="44" t="s">
        <v>27</v>
      </c>
    </row>
    <row r="197" spans="1:10" ht="26.4" x14ac:dyDescent="0.25">
      <c r="A197" s="39" t="s">
        <v>216</v>
      </c>
      <c r="B197" s="16" t="s">
        <v>104</v>
      </c>
      <c r="C197" s="16" t="s">
        <v>21</v>
      </c>
      <c r="D197" s="17" t="s">
        <v>105</v>
      </c>
      <c r="E197" s="16" t="s">
        <v>66</v>
      </c>
      <c r="F197" s="27">
        <v>42.64</v>
      </c>
      <c r="G197" s="67">
        <v>38.770000000000003</v>
      </c>
      <c r="H197" s="67">
        <v>46.75</v>
      </c>
      <c r="I197" s="18">
        <v>1993.42</v>
      </c>
      <c r="J197" s="40">
        <v>1.1388943623905208E-4</v>
      </c>
    </row>
    <row r="198" spans="1:10" x14ac:dyDescent="0.25">
      <c r="A198" s="43" t="s">
        <v>24</v>
      </c>
      <c r="B198" s="83"/>
      <c r="C198" s="83"/>
      <c r="D198" s="84" t="s">
        <v>3</v>
      </c>
      <c r="E198" s="85" t="s">
        <v>25</v>
      </c>
      <c r="F198" s="85"/>
      <c r="G198" s="85"/>
      <c r="H198" s="86"/>
      <c r="I198" s="87" t="s">
        <v>1911</v>
      </c>
      <c r="J198" s="44"/>
    </row>
    <row r="199" spans="1:10" ht="26.4" x14ac:dyDescent="0.25">
      <c r="A199" s="51"/>
      <c r="B199" s="83"/>
      <c r="C199" s="83"/>
      <c r="D199" s="84" t="s">
        <v>31</v>
      </c>
      <c r="E199" s="85">
        <f>42.64</f>
        <v>42.64</v>
      </c>
      <c r="F199" s="85"/>
      <c r="G199" s="85"/>
      <c r="H199" s="85"/>
      <c r="I199" s="88">
        <v>42.64</v>
      </c>
      <c r="J199" s="44" t="s">
        <v>27</v>
      </c>
    </row>
    <row r="200" spans="1:10" ht="39.6" x14ac:dyDescent="0.25">
      <c r="A200" s="39" t="s">
        <v>217</v>
      </c>
      <c r="B200" s="16" t="s">
        <v>140</v>
      </c>
      <c r="C200" s="16" t="s">
        <v>21</v>
      </c>
      <c r="D200" s="17" t="s">
        <v>141</v>
      </c>
      <c r="E200" s="16" t="s">
        <v>23</v>
      </c>
      <c r="F200" s="27">
        <v>157.93299999999999</v>
      </c>
      <c r="G200" s="67">
        <v>57.1</v>
      </c>
      <c r="H200" s="67">
        <v>68.86</v>
      </c>
      <c r="I200" s="18">
        <v>10875.26</v>
      </c>
      <c r="J200" s="40">
        <v>6.2133280008884906E-4</v>
      </c>
    </row>
    <row r="201" spans="1:10" x14ac:dyDescent="0.25">
      <c r="A201" s="43" t="s">
        <v>24</v>
      </c>
      <c r="B201" s="83"/>
      <c r="C201" s="83"/>
      <c r="D201" s="84" t="s">
        <v>3</v>
      </c>
      <c r="E201" s="85" t="s">
        <v>25</v>
      </c>
      <c r="F201" s="85"/>
      <c r="G201" s="85"/>
      <c r="H201" s="86"/>
      <c r="I201" s="87" t="s">
        <v>1911</v>
      </c>
      <c r="J201" s="44"/>
    </row>
    <row r="202" spans="1:10" ht="26.4" x14ac:dyDescent="0.25">
      <c r="A202" s="51"/>
      <c r="B202" s="83"/>
      <c r="C202" s="83"/>
      <c r="D202" s="84" t="s">
        <v>31</v>
      </c>
      <c r="E202" s="85">
        <f>157.933</f>
        <v>157.93299999999999</v>
      </c>
      <c r="F202" s="85"/>
      <c r="G202" s="85"/>
      <c r="H202" s="85"/>
      <c r="I202" s="88">
        <v>157.93299999999999</v>
      </c>
      <c r="J202" s="44" t="s">
        <v>27</v>
      </c>
    </row>
    <row r="203" spans="1:10" ht="52.8" x14ac:dyDescent="0.25">
      <c r="A203" s="39" t="s">
        <v>218</v>
      </c>
      <c r="B203" s="16" t="s">
        <v>136</v>
      </c>
      <c r="C203" s="16" t="s">
        <v>14</v>
      </c>
      <c r="D203" s="17" t="s">
        <v>137</v>
      </c>
      <c r="E203" s="16" t="s">
        <v>138</v>
      </c>
      <c r="F203" s="27">
        <v>157.93299999999999</v>
      </c>
      <c r="G203" s="67">
        <v>282.12</v>
      </c>
      <c r="H203" s="67">
        <v>340.23</v>
      </c>
      <c r="I203" s="18">
        <v>53733.54</v>
      </c>
      <c r="J203" s="40">
        <v>3.069941396057306E-3</v>
      </c>
    </row>
    <row r="204" spans="1:10" x14ac:dyDescent="0.25">
      <c r="A204" s="43" t="s">
        <v>24</v>
      </c>
      <c r="B204" s="83"/>
      <c r="C204" s="83"/>
      <c r="D204" s="84" t="s">
        <v>3</v>
      </c>
      <c r="E204" s="85" t="s">
        <v>25</v>
      </c>
      <c r="F204" s="85"/>
      <c r="G204" s="85"/>
      <c r="H204" s="86"/>
      <c r="I204" s="87" t="s">
        <v>1911</v>
      </c>
      <c r="J204" s="44"/>
    </row>
    <row r="205" spans="1:10" ht="26.4" x14ac:dyDescent="0.25">
      <c r="A205" s="51"/>
      <c r="B205" s="83"/>
      <c r="C205" s="83"/>
      <c r="D205" s="84" t="s">
        <v>31</v>
      </c>
      <c r="E205" s="85">
        <f>157.933</f>
        <v>157.93299999999999</v>
      </c>
      <c r="F205" s="85"/>
      <c r="G205" s="85"/>
      <c r="H205" s="85"/>
      <c r="I205" s="88">
        <v>157.93299999999999</v>
      </c>
      <c r="J205" s="44" t="s">
        <v>27</v>
      </c>
    </row>
    <row r="206" spans="1:10" x14ac:dyDescent="0.25">
      <c r="A206" s="39" t="s">
        <v>219</v>
      </c>
      <c r="B206" s="16" t="s">
        <v>220</v>
      </c>
      <c r="C206" s="16" t="s">
        <v>56</v>
      </c>
      <c r="D206" s="17" t="s">
        <v>221</v>
      </c>
      <c r="E206" s="16" t="s">
        <v>222</v>
      </c>
      <c r="F206" s="27">
        <v>2.1</v>
      </c>
      <c r="G206" s="67">
        <v>514.54</v>
      </c>
      <c r="H206" s="67">
        <v>620.53</v>
      </c>
      <c r="I206" s="18">
        <v>1303.1099999999999</v>
      </c>
      <c r="J206" s="40">
        <v>7.4450172696908403E-5</v>
      </c>
    </row>
    <row r="207" spans="1:10" x14ac:dyDescent="0.25">
      <c r="A207" s="43" t="s">
        <v>24</v>
      </c>
      <c r="B207" s="83"/>
      <c r="C207" s="83"/>
      <c r="D207" s="84" t="s">
        <v>3</v>
      </c>
      <c r="E207" s="85" t="s">
        <v>25</v>
      </c>
      <c r="F207" s="85"/>
      <c r="G207" s="85"/>
      <c r="H207" s="86"/>
      <c r="I207" s="87" t="s">
        <v>1911</v>
      </c>
      <c r="J207" s="44"/>
    </row>
    <row r="208" spans="1:10" ht="26.4" x14ac:dyDescent="0.25">
      <c r="A208" s="51"/>
      <c r="B208" s="83"/>
      <c r="C208" s="83"/>
      <c r="D208" s="84" t="s">
        <v>31</v>
      </c>
      <c r="E208" s="85">
        <f>2.1</f>
        <v>2.1</v>
      </c>
      <c r="F208" s="85"/>
      <c r="G208" s="85"/>
      <c r="H208" s="85"/>
      <c r="I208" s="88">
        <v>2.1</v>
      </c>
      <c r="J208" s="44" t="s">
        <v>27</v>
      </c>
    </row>
    <row r="209" spans="1:10" x14ac:dyDescent="0.25">
      <c r="A209" s="41" t="s">
        <v>223</v>
      </c>
      <c r="B209" s="13"/>
      <c r="C209" s="13"/>
      <c r="D209" s="14" t="s">
        <v>224</v>
      </c>
      <c r="E209" s="14"/>
      <c r="F209" s="26">
        <v>1</v>
      </c>
      <c r="G209" s="66"/>
      <c r="H209" s="66"/>
      <c r="I209" s="15">
        <v>279345.76</v>
      </c>
      <c r="J209" s="42">
        <v>1.5959773214962E-2</v>
      </c>
    </row>
    <row r="210" spans="1:10" ht="26.4" x14ac:dyDescent="0.25">
      <c r="A210" s="39" t="s">
        <v>225</v>
      </c>
      <c r="B210" s="16" t="s">
        <v>226</v>
      </c>
      <c r="C210" s="16" t="s">
        <v>56</v>
      </c>
      <c r="D210" s="17" t="s">
        <v>227</v>
      </c>
      <c r="E210" s="16" t="s">
        <v>66</v>
      </c>
      <c r="F210" s="27">
        <v>174.47319999999999</v>
      </c>
      <c r="G210" s="67">
        <v>7.2</v>
      </c>
      <c r="H210" s="67">
        <v>8.68</v>
      </c>
      <c r="I210" s="18">
        <v>1514.42</v>
      </c>
      <c r="J210" s="40">
        <v>8.6522880290729128E-5</v>
      </c>
    </row>
    <row r="211" spans="1:10" x14ac:dyDescent="0.25">
      <c r="A211" s="43" t="s">
        <v>24</v>
      </c>
      <c r="B211" s="83"/>
      <c r="C211" s="83"/>
      <c r="D211" s="84" t="s">
        <v>3</v>
      </c>
      <c r="E211" s="85" t="s">
        <v>25</v>
      </c>
      <c r="F211" s="85"/>
      <c r="G211" s="85"/>
      <c r="H211" s="86"/>
      <c r="I211" s="87" t="s">
        <v>1911</v>
      </c>
      <c r="J211" s="44"/>
    </row>
    <row r="212" spans="1:10" ht="26.4" x14ac:dyDescent="0.25">
      <c r="A212" s="51"/>
      <c r="B212" s="83"/>
      <c r="C212" s="83"/>
      <c r="D212" s="84" t="s">
        <v>228</v>
      </c>
      <c r="E212" s="85">
        <f>76.65*0.4*0.5</f>
        <v>15.330000000000002</v>
      </c>
      <c r="F212" s="85"/>
      <c r="G212" s="85"/>
      <c r="H212" s="85"/>
      <c r="I212" s="88">
        <v>15.33</v>
      </c>
      <c r="J212" s="44" t="s">
        <v>27</v>
      </c>
    </row>
    <row r="213" spans="1:10" x14ac:dyDescent="0.25">
      <c r="A213" s="51"/>
      <c r="B213" s="83"/>
      <c r="C213" s="83"/>
      <c r="D213" s="84" t="s">
        <v>229</v>
      </c>
      <c r="E213" s="85">
        <f>107.36*1.6*0.7</f>
        <v>120.2432</v>
      </c>
      <c r="F213" s="85"/>
      <c r="G213" s="85"/>
      <c r="H213" s="85"/>
      <c r="I213" s="88">
        <v>120.2432</v>
      </c>
      <c r="J213" s="44" t="s">
        <v>27</v>
      </c>
    </row>
    <row r="214" spans="1:10" ht="26.4" x14ac:dyDescent="0.25">
      <c r="A214" s="51"/>
      <c r="B214" s="83"/>
      <c r="C214" s="83"/>
      <c r="D214" s="84" t="s">
        <v>230</v>
      </c>
      <c r="E214" s="85">
        <f>194.5*0.4*0.5</f>
        <v>38.900000000000006</v>
      </c>
      <c r="F214" s="85"/>
      <c r="G214" s="85"/>
      <c r="H214" s="85"/>
      <c r="I214" s="88">
        <v>38.9</v>
      </c>
      <c r="J214" s="44" t="s">
        <v>27</v>
      </c>
    </row>
    <row r="215" spans="1:10" ht="26.4" x14ac:dyDescent="0.25">
      <c r="A215" s="39" t="s">
        <v>231</v>
      </c>
      <c r="B215" s="16" t="s">
        <v>232</v>
      </c>
      <c r="C215" s="16" t="s">
        <v>21</v>
      </c>
      <c r="D215" s="17" t="s">
        <v>233</v>
      </c>
      <c r="E215" s="16" t="s">
        <v>23</v>
      </c>
      <c r="F215" s="27">
        <v>81.344999999999999</v>
      </c>
      <c r="G215" s="67">
        <v>36.26</v>
      </c>
      <c r="H215" s="67">
        <v>43.72</v>
      </c>
      <c r="I215" s="18">
        <v>3556.4</v>
      </c>
      <c r="J215" s="40">
        <v>2.0318667969648386E-4</v>
      </c>
    </row>
    <row r="216" spans="1:10" x14ac:dyDescent="0.25">
      <c r="A216" s="43" t="s">
        <v>24</v>
      </c>
      <c r="B216" s="83"/>
      <c r="C216" s="83"/>
      <c r="D216" s="84" t="s">
        <v>3</v>
      </c>
      <c r="E216" s="85" t="s">
        <v>25</v>
      </c>
      <c r="F216" s="85"/>
      <c r="G216" s="85"/>
      <c r="H216" s="86"/>
      <c r="I216" s="87" t="s">
        <v>1911</v>
      </c>
      <c r="J216" s="44"/>
    </row>
    <row r="217" spans="1:10" ht="26.4" x14ac:dyDescent="0.25">
      <c r="A217" s="51"/>
      <c r="B217" s="83"/>
      <c r="C217" s="83"/>
      <c r="D217" s="84" t="s">
        <v>234</v>
      </c>
      <c r="E217" s="85">
        <f>76.65*0.3</f>
        <v>22.995000000000001</v>
      </c>
      <c r="F217" s="85"/>
      <c r="G217" s="85"/>
      <c r="H217" s="85"/>
      <c r="I217" s="88">
        <v>22.995000000000001</v>
      </c>
      <c r="J217" s="44" t="s">
        <v>27</v>
      </c>
    </row>
    <row r="218" spans="1:10" ht="26.4" x14ac:dyDescent="0.25">
      <c r="A218" s="51"/>
      <c r="B218" s="83"/>
      <c r="C218" s="83"/>
      <c r="D218" s="84" t="s">
        <v>230</v>
      </c>
      <c r="E218" s="85">
        <f>194.5*0.3</f>
        <v>58.349999999999994</v>
      </c>
      <c r="F218" s="85"/>
      <c r="G218" s="85"/>
      <c r="H218" s="85"/>
      <c r="I218" s="88">
        <v>58.35</v>
      </c>
      <c r="J218" s="44" t="s">
        <v>27</v>
      </c>
    </row>
    <row r="219" spans="1:10" ht="26.4" x14ac:dyDescent="0.25">
      <c r="A219" s="39" t="s">
        <v>235</v>
      </c>
      <c r="B219" s="16" t="s">
        <v>236</v>
      </c>
      <c r="C219" s="16" t="s">
        <v>43</v>
      </c>
      <c r="D219" s="17" t="s">
        <v>237</v>
      </c>
      <c r="E219" s="16" t="s">
        <v>66</v>
      </c>
      <c r="F219" s="27">
        <v>34.78</v>
      </c>
      <c r="G219" s="67">
        <v>708.26</v>
      </c>
      <c r="H219" s="67">
        <v>854.16</v>
      </c>
      <c r="I219" s="18">
        <v>29707.68</v>
      </c>
      <c r="J219" s="40">
        <v>1.697279513183455E-3</v>
      </c>
    </row>
    <row r="220" spans="1:10" x14ac:dyDescent="0.25">
      <c r="A220" s="43" t="s">
        <v>24</v>
      </c>
      <c r="B220" s="83"/>
      <c r="C220" s="83"/>
      <c r="D220" s="84" t="s">
        <v>3</v>
      </c>
      <c r="E220" s="85" t="s">
        <v>25</v>
      </c>
      <c r="F220" s="85"/>
      <c r="G220" s="85"/>
      <c r="H220" s="86"/>
      <c r="I220" s="87" t="s">
        <v>1911</v>
      </c>
      <c r="J220" s="44"/>
    </row>
    <row r="221" spans="1:10" x14ac:dyDescent="0.25">
      <c r="A221" s="51"/>
      <c r="B221" s="83"/>
      <c r="C221" s="83"/>
      <c r="D221" s="84" t="s">
        <v>238</v>
      </c>
      <c r="E221" s="85">
        <f>76.65*1*0.2</f>
        <v>15.330000000000002</v>
      </c>
      <c r="F221" s="85"/>
      <c r="G221" s="85"/>
      <c r="H221" s="85"/>
      <c r="I221" s="88">
        <v>15.33</v>
      </c>
      <c r="J221" s="44" t="s">
        <v>27</v>
      </c>
    </row>
    <row r="222" spans="1:10" x14ac:dyDescent="0.25">
      <c r="A222" s="51"/>
      <c r="B222" s="83"/>
      <c r="C222" s="83"/>
      <c r="D222" s="84" t="s">
        <v>239</v>
      </c>
      <c r="E222" s="85">
        <f>194.5*0.5*0.2</f>
        <v>19.450000000000003</v>
      </c>
      <c r="F222" s="85"/>
      <c r="G222" s="85"/>
      <c r="H222" s="85"/>
      <c r="I222" s="88">
        <v>19.45</v>
      </c>
      <c r="J222" s="44" t="s">
        <v>27</v>
      </c>
    </row>
    <row r="223" spans="1:10" x14ac:dyDescent="0.25">
      <c r="A223" s="39" t="s">
        <v>240</v>
      </c>
      <c r="B223" s="16" t="s">
        <v>160</v>
      </c>
      <c r="C223" s="16" t="s">
        <v>21</v>
      </c>
      <c r="D223" s="17" t="s">
        <v>161</v>
      </c>
      <c r="E223" s="16" t="s">
        <v>89</v>
      </c>
      <c r="F223" s="27">
        <v>170</v>
      </c>
      <c r="G223" s="67">
        <v>9.4600000000000009</v>
      </c>
      <c r="H223" s="67">
        <v>11.4</v>
      </c>
      <c r="I223" s="18">
        <v>1938</v>
      </c>
      <c r="J223" s="40">
        <v>1.1072314285563652E-4</v>
      </c>
    </row>
    <row r="224" spans="1:10" x14ac:dyDescent="0.25">
      <c r="A224" s="43" t="s">
        <v>24</v>
      </c>
      <c r="B224" s="83"/>
      <c r="C224" s="83"/>
      <c r="D224" s="84" t="s">
        <v>3</v>
      </c>
      <c r="E224" s="85" t="s">
        <v>25</v>
      </c>
      <c r="F224" s="85"/>
      <c r="G224" s="85"/>
      <c r="H224" s="86"/>
      <c r="I224" s="87" t="s">
        <v>1911</v>
      </c>
      <c r="J224" s="44"/>
    </row>
    <row r="225" spans="1:10" x14ac:dyDescent="0.25">
      <c r="A225" s="51"/>
      <c r="B225" s="83"/>
      <c r="C225" s="83"/>
      <c r="D225" s="84" t="s">
        <v>241</v>
      </c>
      <c r="E225" s="85">
        <f>90+30</f>
        <v>120</v>
      </c>
      <c r="F225" s="85"/>
      <c r="G225" s="85"/>
      <c r="H225" s="85"/>
      <c r="I225" s="88">
        <v>120</v>
      </c>
      <c r="J225" s="44" t="s">
        <v>27</v>
      </c>
    </row>
    <row r="226" spans="1:10" x14ac:dyDescent="0.25">
      <c r="A226" s="51"/>
      <c r="B226" s="83"/>
      <c r="C226" s="83"/>
      <c r="D226" s="84" t="s">
        <v>242</v>
      </c>
      <c r="E226" s="85">
        <f>50</f>
        <v>50</v>
      </c>
      <c r="F226" s="85"/>
      <c r="G226" s="85"/>
      <c r="H226" s="85"/>
      <c r="I226" s="88">
        <v>50</v>
      </c>
      <c r="J226" s="44" t="s">
        <v>27</v>
      </c>
    </row>
    <row r="227" spans="1:10" x14ac:dyDescent="0.25">
      <c r="A227" s="39" t="s">
        <v>243</v>
      </c>
      <c r="B227" s="16" t="s">
        <v>166</v>
      </c>
      <c r="C227" s="16" t="s">
        <v>21</v>
      </c>
      <c r="D227" s="17" t="s">
        <v>167</v>
      </c>
      <c r="E227" s="16" t="s">
        <v>89</v>
      </c>
      <c r="F227" s="27">
        <v>312</v>
      </c>
      <c r="G227" s="67">
        <v>9.51</v>
      </c>
      <c r="H227" s="67">
        <v>11.46</v>
      </c>
      <c r="I227" s="18">
        <v>3575.52</v>
      </c>
      <c r="J227" s="40">
        <v>2.0427905662703067E-4</v>
      </c>
    </row>
    <row r="228" spans="1:10" x14ac:dyDescent="0.25">
      <c r="A228" s="43" t="s">
        <v>24</v>
      </c>
      <c r="B228" s="83"/>
      <c r="C228" s="83"/>
      <c r="D228" s="84" t="s">
        <v>3</v>
      </c>
      <c r="E228" s="85" t="s">
        <v>25</v>
      </c>
      <c r="F228" s="85"/>
      <c r="G228" s="85"/>
      <c r="H228" s="86"/>
      <c r="I228" s="87" t="s">
        <v>1911</v>
      </c>
      <c r="J228" s="44"/>
    </row>
    <row r="229" spans="1:10" x14ac:dyDescent="0.25">
      <c r="A229" s="51"/>
      <c r="B229" s="83"/>
      <c r="C229" s="83"/>
      <c r="D229" s="84" t="s">
        <v>242</v>
      </c>
      <c r="E229" s="85">
        <f>90</f>
        <v>90</v>
      </c>
      <c r="F229" s="85"/>
      <c r="G229" s="85"/>
      <c r="H229" s="85"/>
      <c r="I229" s="88">
        <v>90</v>
      </c>
      <c r="J229" s="44" t="s">
        <v>27</v>
      </c>
    </row>
    <row r="230" spans="1:10" x14ac:dyDescent="0.25">
      <c r="A230" s="51"/>
      <c r="B230" s="83"/>
      <c r="C230" s="83"/>
      <c r="D230" s="84" t="s">
        <v>244</v>
      </c>
      <c r="E230" s="85">
        <f>222</f>
        <v>222</v>
      </c>
      <c r="F230" s="85"/>
      <c r="G230" s="85"/>
      <c r="H230" s="85"/>
      <c r="I230" s="88">
        <v>222</v>
      </c>
      <c r="J230" s="44" t="s">
        <v>27</v>
      </c>
    </row>
    <row r="231" spans="1:10" x14ac:dyDescent="0.25">
      <c r="A231" s="39" t="s">
        <v>245</v>
      </c>
      <c r="B231" s="16" t="s">
        <v>169</v>
      </c>
      <c r="C231" s="16" t="s">
        <v>21</v>
      </c>
      <c r="D231" s="17" t="s">
        <v>170</v>
      </c>
      <c r="E231" s="16" t="s">
        <v>89</v>
      </c>
      <c r="F231" s="27">
        <v>154</v>
      </c>
      <c r="G231" s="67">
        <v>8.7799999999999994</v>
      </c>
      <c r="H231" s="67">
        <v>10.58</v>
      </c>
      <c r="I231" s="18">
        <v>1629.32</v>
      </c>
      <c r="J231" s="40">
        <v>9.3087425757247517E-5</v>
      </c>
    </row>
    <row r="232" spans="1:10" x14ac:dyDescent="0.25">
      <c r="A232" s="43" t="s">
        <v>24</v>
      </c>
      <c r="B232" s="83"/>
      <c r="C232" s="83"/>
      <c r="D232" s="84" t="s">
        <v>3</v>
      </c>
      <c r="E232" s="85" t="s">
        <v>25</v>
      </c>
      <c r="F232" s="85"/>
      <c r="G232" s="85"/>
      <c r="H232" s="86"/>
      <c r="I232" s="87" t="s">
        <v>1911</v>
      </c>
      <c r="J232" s="44"/>
    </row>
    <row r="233" spans="1:10" x14ac:dyDescent="0.25">
      <c r="A233" s="51"/>
      <c r="B233" s="83"/>
      <c r="C233" s="83"/>
      <c r="D233" s="84" t="s">
        <v>246</v>
      </c>
      <c r="E233" s="85">
        <f>154</f>
        <v>154</v>
      </c>
      <c r="F233" s="85"/>
      <c r="G233" s="85"/>
      <c r="H233" s="85"/>
      <c r="I233" s="88">
        <v>154</v>
      </c>
      <c r="J233" s="44" t="s">
        <v>27</v>
      </c>
    </row>
    <row r="234" spans="1:10" ht="39.6" x14ac:dyDescent="0.25">
      <c r="A234" s="39" t="s">
        <v>247</v>
      </c>
      <c r="B234" s="16" t="s">
        <v>248</v>
      </c>
      <c r="C234" s="16" t="s">
        <v>21</v>
      </c>
      <c r="D234" s="17" t="s">
        <v>249</v>
      </c>
      <c r="E234" s="16" t="s">
        <v>23</v>
      </c>
      <c r="F234" s="27">
        <v>89.01</v>
      </c>
      <c r="G234" s="67">
        <v>69.349999999999994</v>
      </c>
      <c r="H234" s="67">
        <v>83.63</v>
      </c>
      <c r="I234" s="18">
        <v>7443.9</v>
      </c>
      <c r="J234" s="40">
        <v>4.2528999128125524E-4</v>
      </c>
    </row>
    <row r="235" spans="1:10" x14ac:dyDescent="0.25">
      <c r="A235" s="43" t="s">
        <v>24</v>
      </c>
      <c r="B235" s="83"/>
      <c r="C235" s="83"/>
      <c r="D235" s="84" t="s">
        <v>3</v>
      </c>
      <c r="E235" s="85" t="s">
        <v>25</v>
      </c>
      <c r="F235" s="85"/>
      <c r="G235" s="85"/>
      <c r="H235" s="86"/>
      <c r="I235" s="87" t="s">
        <v>1911</v>
      </c>
      <c r="J235" s="44"/>
    </row>
    <row r="236" spans="1:10" x14ac:dyDescent="0.25">
      <c r="A236" s="51"/>
      <c r="B236" s="83"/>
      <c r="C236" s="83"/>
      <c r="D236" s="84" t="s">
        <v>244</v>
      </c>
      <c r="E236" s="85">
        <f>194.5*0.3</f>
        <v>58.349999999999994</v>
      </c>
      <c r="F236" s="85"/>
      <c r="G236" s="85"/>
      <c r="H236" s="85"/>
      <c r="I236" s="88">
        <v>58.35</v>
      </c>
      <c r="J236" s="44" t="s">
        <v>27</v>
      </c>
    </row>
    <row r="237" spans="1:10" x14ac:dyDescent="0.25">
      <c r="A237" s="51"/>
      <c r="B237" s="83"/>
      <c r="C237" s="83"/>
      <c r="D237" s="84" t="s">
        <v>242</v>
      </c>
      <c r="E237" s="85">
        <f>76.65*0.4</f>
        <v>30.660000000000004</v>
      </c>
      <c r="F237" s="85"/>
      <c r="G237" s="85"/>
      <c r="H237" s="85"/>
      <c r="I237" s="88">
        <v>30.66</v>
      </c>
      <c r="J237" s="44" t="s">
        <v>27</v>
      </c>
    </row>
    <row r="238" spans="1:10" ht="26.4" x14ac:dyDescent="0.25">
      <c r="A238" s="39" t="s">
        <v>250</v>
      </c>
      <c r="B238" s="16" t="s">
        <v>175</v>
      </c>
      <c r="C238" s="16" t="s">
        <v>21</v>
      </c>
      <c r="D238" s="17" t="s">
        <v>176</v>
      </c>
      <c r="E238" s="16" t="s">
        <v>23</v>
      </c>
      <c r="F238" s="27">
        <v>37.36</v>
      </c>
      <c r="G238" s="67">
        <v>158.59</v>
      </c>
      <c r="H238" s="67">
        <v>191.25</v>
      </c>
      <c r="I238" s="18">
        <v>7145.1</v>
      </c>
      <c r="J238" s="40">
        <v>4.0821874510722832E-4</v>
      </c>
    </row>
    <row r="239" spans="1:10" x14ac:dyDescent="0.25">
      <c r="A239" s="43" t="s">
        <v>24</v>
      </c>
      <c r="B239" s="83"/>
      <c r="C239" s="83"/>
      <c r="D239" s="84" t="s">
        <v>3</v>
      </c>
      <c r="E239" s="85" t="s">
        <v>25</v>
      </c>
      <c r="F239" s="85"/>
      <c r="G239" s="85"/>
      <c r="H239" s="86"/>
      <c r="I239" s="87" t="s">
        <v>1911</v>
      </c>
      <c r="J239" s="44"/>
    </row>
    <row r="240" spans="1:10" ht="26.4" x14ac:dyDescent="0.25">
      <c r="A240" s="51"/>
      <c r="B240" s="83"/>
      <c r="C240" s="83"/>
      <c r="D240" s="84" t="s">
        <v>251</v>
      </c>
      <c r="E240" s="85">
        <f>(1*0.4)*31</f>
        <v>12.4</v>
      </c>
      <c r="F240" s="85"/>
      <c r="G240" s="85"/>
      <c r="H240" s="85"/>
      <c r="I240" s="88">
        <v>12.4</v>
      </c>
      <c r="J240" s="44" t="s">
        <v>27</v>
      </c>
    </row>
    <row r="241" spans="1:10" x14ac:dyDescent="0.25">
      <c r="A241" s="51"/>
      <c r="B241" s="83"/>
      <c r="C241" s="83"/>
      <c r="D241" s="84" t="s">
        <v>252</v>
      </c>
      <c r="E241" s="85">
        <f>(0.4*0.8)*78</f>
        <v>24.960000000000004</v>
      </c>
      <c r="F241" s="85"/>
      <c r="G241" s="85"/>
      <c r="H241" s="85"/>
      <c r="I241" s="88">
        <v>24.96</v>
      </c>
      <c r="J241" s="44" t="s">
        <v>27</v>
      </c>
    </row>
    <row r="242" spans="1:10" ht="39.6" x14ac:dyDescent="0.25">
      <c r="A242" s="39" t="s">
        <v>253</v>
      </c>
      <c r="B242" s="16" t="s">
        <v>101</v>
      </c>
      <c r="C242" s="16" t="s">
        <v>21</v>
      </c>
      <c r="D242" s="17" t="s">
        <v>102</v>
      </c>
      <c r="E242" s="16" t="s">
        <v>66</v>
      </c>
      <c r="F242" s="27">
        <v>11.805</v>
      </c>
      <c r="G242" s="67">
        <v>501.07</v>
      </c>
      <c r="H242" s="67">
        <v>604.29</v>
      </c>
      <c r="I242" s="18">
        <v>7133.64</v>
      </c>
      <c r="J242" s="40">
        <v>4.0756400454111603E-4</v>
      </c>
    </row>
    <row r="243" spans="1:10" x14ac:dyDescent="0.25">
      <c r="A243" s="43" t="s">
        <v>24</v>
      </c>
      <c r="B243" s="83"/>
      <c r="C243" s="83"/>
      <c r="D243" s="84" t="s">
        <v>3</v>
      </c>
      <c r="E243" s="85" t="s">
        <v>25</v>
      </c>
      <c r="F243" s="85"/>
      <c r="G243" s="85"/>
      <c r="H243" s="86"/>
      <c r="I243" s="87" t="s">
        <v>1911</v>
      </c>
      <c r="J243" s="44"/>
    </row>
    <row r="244" spans="1:10" x14ac:dyDescent="0.25">
      <c r="A244" s="51"/>
      <c r="B244" s="83"/>
      <c r="C244" s="83"/>
      <c r="D244" s="84" t="s">
        <v>252</v>
      </c>
      <c r="E244" s="85">
        <f>(0.15*0.15*0.8)*78</f>
        <v>1.4039999999999999</v>
      </c>
      <c r="F244" s="85"/>
      <c r="G244" s="85"/>
      <c r="H244" s="85"/>
      <c r="I244" s="88">
        <v>1.4039999999999999</v>
      </c>
      <c r="J244" s="44" t="s">
        <v>27</v>
      </c>
    </row>
    <row r="245" spans="1:10" x14ac:dyDescent="0.25">
      <c r="A245" s="51"/>
      <c r="B245" s="83"/>
      <c r="C245" s="83"/>
      <c r="D245" s="84" t="s">
        <v>254</v>
      </c>
      <c r="E245" s="85">
        <f>76.65*0.2*0.2</f>
        <v>3.0660000000000007</v>
      </c>
      <c r="F245" s="85"/>
      <c r="G245" s="85"/>
      <c r="H245" s="85"/>
      <c r="I245" s="88">
        <v>3.0659999999999998</v>
      </c>
      <c r="J245" s="44" t="s">
        <v>27</v>
      </c>
    </row>
    <row r="246" spans="1:10" x14ac:dyDescent="0.25">
      <c r="A246" s="51"/>
      <c r="B246" s="83"/>
      <c r="C246" s="83"/>
      <c r="D246" s="84" t="s">
        <v>255</v>
      </c>
      <c r="E246" s="85">
        <f>194.5*0.15*0.2</f>
        <v>5.835</v>
      </c>
      <c r="F246" s="85"/>
      <c r="G246" s="85"/>
      <c r="H246" s="85"/>
      <c r="I246" s="88">
        <v>5.835</v>
      </c>
      <c r="J246" s="44" t="s">
        <v>27</v>
      </c>
    </row>
    <row r="247" spans="1:10" ht="26.4" x14ac:dyDescent="0.25">
      <c r="A247" s="51"/>
      <c r="B247" s="83"/>
      <c r="C247" s="83"/>
      <c r="D247" s="84" t="s">
        <v>251</v>
      </c>
      <c r="E247" s="85">
        <f>(0.2*0.2*0.5)*75</f>
        <v>1.5000000000000002</v>
      </c>
      <c r="F247" s="85"/>
      <c r="G247" s="85"/>
      <c r="H247" s="85"/>
      <c r="I247" s="88">
        <v>1.5</v>
      </c>
      <c r="J247" s="44" t="s">
        <v>27</v>
      </c>
    </row>
    <row r="248" spans="1:10" ht="26.4" x14ac:dyDescent="0.25">
      <c r="A248" s="39" t="s">
        <v>256</v>
      </c>
      <c r="B248" s="16" t="s">
        <v>257</v>
      </c>
      <c r="C248" s="16" t="s">
        <v>21</v>
      </c>
      <c r="D248" s="17" t="s">
        <v>258</v>
      </c>
      <c r="E248" s="16" t="s">
        <v>66</v>
      </c>
      <c r="F248" s="27">
        <v>11.805</v>
      </c>
      <c r="G248" s="67">
        <v>276.02</v>
      </c>
      <c r="H248" s="67">
        <v>332.88</v>
      </c>
      <c r="I248" s="18">
        <v>3929.64</v>
      </c>
      <c r="J248" s="40">
        <v>2.2451088291600797E-4</v>
      </c>
    </row>
    <row r="249" spans="1:10" x14ac:dyDescent="0.25">
      <c r="A249" s="43" t="s">
        <v>24</v>
      </c>
      <c r="B249" s="83"/>
      <c r="C249" s="83"/>
      <c r="D249" s="84" t="s">
        <v>3</v>
      </c>
      <c r="E249" s="85" t="s">
        <v>25</v>
      </c>
      <c r="F249" s="85"/>
      <c r="G249" s="85"/>
      <c r="H249" s="86"/>
      <c r="I249" s="87" t="s">
        <v>1911</v>
      </c>
      <c r="J249" s="44"/>
    </row>
    <row r="250" spans="1:10" x14ac:dyDescent="0.25">
      <c r="A250" s="51"/>
      <c r="B250" s="83"/>
      <c r="C250" s="83"/>
      <c r="D250" s="84" t="s">
        <v>259</v>
      </c>
      <c r="E250" s="85" t="e">
        <f>i.3.4.9</f>
        <v>#NAME?</v>
      </c>
      <c r="F250" s="85"/>
      <c r="G250" s="85"/>
      <c r="H250" s="85"/>
      <c r="I250" s="88">
        <v>11.805</v>
      </c>
      <c r="J250" s="44" t="s">
        <v>27</v>
      </c>
    </row>
    <row r="251" spans="1:10" ht="39.6" x14ac:dyDescent="0.25">
      <c r="A251" s="39" t="s">
        <v>260</v>
      </c>
      <c r="B251" s="16" t="s">
        <v>261</v>
      </c>
      <c r="C251" s="16" t="s">
        <v>21</v>
      </c>
      <c r="D251" s="17" t="s">
        <v>262</v>
      </c>
      <c r="E251" s="16" t="s">
        <v>23</v>
      </c>
      <c r="F251" s="27">
        <v>97.25</v>
      </c>
      <c r="G251" s="67">
        <v>81.47</v>
      </c>
      <c r="H251" s="67">
        <v>98.25</v>
      </c>
      <c r="I251" s="18">
        <v>9554.81</v>
      </c>
      <c r="J251" s="40">
        <v>5.4589194664007444E-4</v>
      </c>
    </row>
    <row r="252" spans="1:10" x14ac:dyDescent="0.25">
      <c r="A252" s="43" t="s">
        <v>24</v>
      </c>
      <c r="B252" s="83"/>
      <c r="C252" s="83"/>
      <c r="D252" s="84" t="s">
        <v>3</v>
      </c>
      <c r="E252" s="85" t="s">
        <v>25</v>
      </c>
      <c r="F252" s="85"/>
      <c r="G252" s="85"/>
      <c r="H252" s="86"/>
      <c r="I252" s="87" t="s">
        <v>1911</v>
      </c>
      <c r="J252" s="44"/>
    </row>
    <row r="253" spans="1:10" x14ac:dyDescent="0.25">
      <c r="A253" s="51"/>
      <c r="B253" s="83"/>
      <c r="C253" s="83"/>
      <c r="D253" s="84" t="s">
        <v>263</v>
      </c>
      <c r="E253" s="85">
        <f>194.5*0.5</f>
        <v>97.25</v>
      </c>
      <c r="F253" s="85"/>
      <c r="G253" s="85"/>
      <c r="H253" s="85"/>
      <c r="I253" s="88">
        <v>97.25</v>
      </c>
      <c r="J253" s="44" t="s">
        <v>27</v>
      </c>
    </row>
    <row r="254" spans="1:10" ht="52.8" x14ac:dyDescent="0.25">
      <c r="A254" s="39" t="s">
        <v>264</v>
      </c>
      <c r="B254" s="16" t="s">
        <v>265</v>
      </c>
      <c r="C254" s="16" t="s">
        <v>21</v>
      </c>
      <c r="D254" s="17" t="s">
        <v>266</v>
      </c>
      <c r="E254" s="16" t="s">
        <v>23</v>
      </c>
      <c r="F254" s="27">
        <v>347.8</v>
      </c>
      <c r="G254" s="67">
        <v>6.5</v>
      </c>
      <c r="H254" s="67">
        <v>7.83</v>
      </c>
      <c r="I254" s="18">
        <v>2723.27</v>
      </c>
      <c r="J254" s="40">
        <v>1.5558772613233707E-4</v>
      </c>
    </row>
    <row r="255" spans="1:10" x14ac:dyDescent="0.25">
      <c r="A255" s="43" t="s">
        <v>24</v>
      </c>
      <c r="B255" s="83"/>
      <c r="C255" s="83"/>
      <c r="D255" s="84" t="s">
        <v>3</v>
      </c>
      <c r="E255" s="85" t="s">
        <v>25</v>
      </c>
      <c r="F255" s="85"/>
      <c r="G255" s="85"/>
      <c r="H255" s="86"/>
      <c r="I255" s="87" t="s">
        <v>1911</v>
      </c>
      <c r="J255" s="44"/>
    </row>
    <row r="256" spans="1:10" x14ac:dyDescent="0.25">
      <c r="A256" s="51"/>
      <c r="B256" s="83"/>
      <c r="C256" s="83"/>
      <c r="D256" s="84" t="s">
        <v>267</v>
      </c>
      <c r="E256" s="85">
        <f>(194.5*0.5)*2</f>
        <v>194.5</v>
      </c>
      <c r="F256" s="85"/>
      <c r="G256" s="85"/>
      <c r="H256" s="85"/>
      <c r="I256" s="88">
        <v>194.5</v>
      </c>
      <c r="J256" s="44" t="s">
        <v>27</v>
      </c>
    </row>
    <row r="257" spans="1:10" x14ac:dyDescent="0.25">
      <c r="A257" s="51"/>
      <c r="B257" s="83"/>
      <c r="C257" s="83"/>
      <c r="D257" s="84" t="s">
        <v>268</v>
      </c>
      <c r="E257" s="85">
        <f>(76.65*1)*2</f>
        <v>153.30000000000001</v>
      </c>
      <c r="F257" s="85"/>
      <c r="G257" s="85"/>
      <c r="H257" s="85"/>
      <c r="I257" s="88">
        <v>153.30000000000001</v>
      </c>
      <c r="J257" s="44" t="s">
        <v>27</v>
      </c>
    </row>
    <row r="258" spans="1:10" ht="39.6" x14ac:dyDescent="0.25">
      <c r="A258" s="39" t="s">
        <v>269</v>
      </c>
      <c r="B258" s="16" t="s">
        <v>270</v>
      </c>
      <c r="C258" s="16" t="s">
        <v>21</v>
      </c>
      <c r="D258" s="17" t="s">
        <v>271</v>
      </c>
      <c r="E258" s="16" t="s">
        <v>23</v>
      </c>
      <c r="F258" s="27">
        <v>347.8</v>
      </c>
      <c r="G258" s="67">
        <v>43.24</v>
      </c>
      <c r="H258" s="67">
        <v>52.14</v>
      </c>
      <c r="I258" s="18">
        <v>18134.29</v>
      </c>
      <c r="J258" s="40">
        <v>1.0360606719584833E-3</v>
      </c>
    </row>
    <row r="259" spans="1:10" x14ac:dyDescent="0.25">
      <c r="A259" s="43" t="s">
        <v>24</v>
      </c>
      <c r="B259" s="83"/>
      <c r="C259" s="83"/>
      <c r="D259" s="84" t="s">
        <v>3</v>
      </c>
      <c r="E259" s="85" t="s">
        <v>25</v>
      </c>
      <c r="F259" s="85"/>
      <c r="G259" s="85"/>
      <c r="H259" s="86"/>
      <c r="I259" s="87" t="s">
        <v>1911</v>
      </c>
      <c r="J259" s="44"/>
    </row>
    <row r="260" spans="1:10" x14ac:dyDescent="0.25">
      <c r="A260" s="51"/>
      <c r="B260" s="83"/>
      <c r="C260" s="83"/>
      <c r="D260" s="84" t="s">
        <v>267</v>
      </c>
      <c r="E260" s="85">
        <f>(194.5*0.5)*2</f>
        <v>194.5</v>
      </c>
      <c r="F260" s="85"/>
      <c r="G260" s="85"/>
      <c r="H260" s="85"/>
      <c r="I260" s="88">
        <v>194.5</v>
      </c>
      <c r="J260" s="44" t="s">
        <v>27</v>
      </c>
    </row>
    <row r="261" spans="1:10" x14ac:dyDescent="0.25">
      <c r="A261" s="51"/>
      <c r="B261" s="83"/>
      <c r="C261" s="83"/>
      <c r="D261" s="84" t="s">
        <v>268</v>
      </c>
      <c r="E261" s="85">
        <f>(76.65*1)*2</f>
        <v>153.30000000000001</v>
      </c>
      <c r="F261" s="85"/>
      <c r="G261" s="85"/>
      <c r="H261" s="85"/>
      <c r="I261" s="88">
        <v>153.30000000000001</v>
      </c>
      <c r="J261" s="44" t="s">
        <v>27</v>
      </c>
    </row>
    <row r="262" spans="1:10" ht="66" x14ac:dyDescent="0.25">
      <c r="A262" s="39" t="s">
        <v>272</v>
      </c>
      <c r="B262" s="16" t="s">
        <v>273</v>
      </c>
      <c r="C262" s="16" t="s">
        <v>43</v>
      </c>
      <c r="D262" s="17" t="s">
        <v>274</v>
      </c>
      <c r="E262" s="16" t="s">
        <v>52</v>
      </c>
      <c r="F262" s="27">
        <v>194.5</v>
      </c>
      <c r="G262" s="67">
        <v>267.45</v>
      </c>
      <c r="H262" s="67">
        <v>322.54000000000002</v>
      </c>
      <c r="I262" s="18">
        <v>62734.03</v>
      </c>
      <c r="J262" s="40">
        <v>3.5841635529410662E-3</v>
      </c>
    </row>
    <row r="263" spans="1:10" x14ac:dyDescent="0.25">
      <c r="A263" s="43" t="s">
        <v>24</v>
      </c>
      <c r="B263" s="83"/>
      <c r="C263" s="83"/>
      <c r="D263" s="84" t="s">
        <v>3</v>
      </c>
      <c r="E263" s="85" t="s">
        <v>25</v>
      </c>
      <c r="F263" s="85"/>
      <c r="G263" s="85"/>
      <c r="H263" s="86"/>
      <c r="I263" s="87" t="s">
        <v>1911</v>
      </c>
      <c r="J263" s="44"/>
    </row>
    <row r="264" spans="1:10" x14ac:dyDescent="0.25">
      <c r="A264" s="51"/>
      <c r="B264" s="83"/>
      <c r="C264" s="83"/>
      <c r="D264" s="84" t="s">
        <v>275</v>
      </c>
      <c r="E264" s="85">
        <f>194.5</f>
        <v>194.5</v>
      </c>
      <c r="F264" s="85"/>
      <c r="G264" s="85"/>
      <c r="H264" s="85"/>
      <c r="I264" s="88">
        <v>194.5</v>
      </c>
      <c r="J264" s="44" t="s">
        <v>27</v>
      </c>
    </row>
    <row r="265" spans="1:10" x14ac:dyDescent="0.25">
      <c r="A265" s="39" t="s">
        <v>276</v>
      </c>
      <c r="B265" s="16" t="s">
        <v>277</v>
      </c>
      <c r="C265" s="16" t="s">
        <v>43</v>
      </c>
      <c r="D265" s="17" t="s">
        <v>278</v>
      </c>
      <c r="E265" s="16" t="s">
        <v>52</v>
      </c>
      <c r="F265" s="27">
        <v>184</v>
      </c>
      <c r="G265" s="67">
        <v>299.98</v>
      </c>
      <c r="H265" s="67">
        <v>361.77</v>
      </c>
      <c r="I265" s="18">
        <v>66565.679999999993</v>
      </c>
      <c r="J265" s="40">
        <v>3.8030760040880219E-3</v>
      </c>
    </row>
    <row r="266" spans="1:10" x14ac:dyDescent="0.25">
      <c r="A266" s="43" t="s">
        <v>24</v>
      </c>
      <c r="B266" s="83"/>
      <c r="C266" s="83"/>
      <c r="D266" s="84" t="s">
        <v>3</v>
      </c>
      <c r="E266" s="85" t="s">
        <v>25</v>
      </c>
      <c r="F266" s="85"/>
      <c r="G266" s="85"/>
      <c r="H266" s="86"/>
      <c r="I266" s="87" t="s">
        <v>1911</v>
      </c>
      <c r="J266" s="44"/>
    </row>
    <row r="267" spans="1:10" ht="26.4" x14ac:dyDescent="0.25">
      <c r="A267" s="51"/>
      <c r="B267" s="83"/>
      <c r="C267" s="83"/>
      <c r="D267" s="84" t="s">
        <v>279</v>
      </c>
      <c r="E267" s="85">
        <f>76.65+107.35</f>
        <v>184</v>
      </c>
      <c r="F267" s="85"/>
      <c r="G267" s="85"/>
      <c r="H267" s="85"/>
      <c r="I267" s="88">
        <v>184</v>
      </c>
      <c r="J267" s="44" t="s">
        <v>27</v>
      </c>
    </row>
    <row r="268" spans="1:10" ht="26.4" x14ac:dyDescent="0.25">
      <c r="A268" s="39" t="s">
        <v>280</v>
      </c>
      <c r="B268" s="16" t="s">
        <v>281</v>
      </c>
      <c r="C268" s="16" t="s">
        <v>70</v>
      </c>
      <c r="D268" s="17" t="s">
        <v>282</v>
      </c>
      <c r="E268" s="16" t="s">
        <v>66</v>
      </c>
      <c r="F268" s="27">
        <v>107.06</v>
      </c>
      <c r="G268" s="67">
        <v>403.21</v>
      </c>
      <c r="H268" s="67">
        <v>486.27</v>
      </c>
      <c r="I268" s="18">
        <v>52060.06</v>
      </c>
      <c r="J268" s="40">
        <v>2.9743309909458248E-3</v>
      </c>
    </row>
    <row r="269" spans="1:10" x14ac:dyDescent="0.25">
      <c r="A269" s="43" t="s">
        <v>24</v>
      </c>
      <c r="B269" s="83"/>
      <c r="C269" s="83"/>
      <c r="D269" s="84" t="s">
        <v>3</v>
      </c>
      <c r="E269" s="85" t="s">
        <v>25</v>
      </c>
      <c r="F269" s="85"/>
      <c r="G269" s="85"/>
      <c r="H269" s="86"/>
      <c r="I269" s="87" t="s">
        <v>1911</v>
      </c>
      <c r="J269" s="44"/>
    </row>
    <row r="270" spans="1:10" ht="26.4" x14ac:dyDescent="0.25">
      <c r="A270" s="51"/>
      <c r="B270" s="83"/>
      <c r="C270" s="83"/>
      <c r="D270" s="84" t="s">
        <v>283</v>
      </c>
      <c r="E270" s="85">
        <f>107.06</f>
        <v>107.06</v>
      </c>
      <c r="F270" s="85"/>
      <c r="G270" s="85"/>
      <c r="H270" s="85"/>
      <c r="I270" s="88">
        <v>107.06</v>
      </c>
      <c r="J270" s="44" t="s">
        <v>27</v>
      </c>
    </row>
    <row r="271" spans="1:10" x14ac:dyDescent="0.25">
      <c r="A271" s="41" t="s">
        <v>284</v>
      </c>
      <c r="B271" s="13"/>
      <c r="C271" s="13"/>
      <c r="D271" s="14" t="s">
        <v>285</v>
      </c>
      <c r="E271" s="14"/>
      <c r="F271" s="26">
        <v>1</v>
      </c>
      <c r="G271" s="66"/>
      <c r="H271" s="66"/>
      <c r="I271" s="15">
        <v>280458.48</v>
      </c>
      <c r="J271" s="42">
        <v>1.6023345895828007E-2</v>
      </c>
    </row>
    <row r="272" spans="1:10" ht="26.4" x14ac:dyDescent="0.25">
      <c r="A272" s="39" t="s">
        <v>286</v>
      </c>
      <c r="B272" s="16" t="s">
        <v>287</v>
      </c>
      <c r="C272" s="16" t="s">
        <v>21</v>
      </c>
      <c r="D272" s="17" t="s">
        <v>288</v>
      </c>
      <c r="E272" s="16" t="s">
        <v>66</v>
      </c>
      <c r="F272" s="27">
        <v>4.26</v>
      </c>
      <c r="G272" s="67">
        <v>781.15</v>
      </c>
      <c r="H272" s="67">
        <v>942.06</v>
      </c>
      <c r="I272" s="18">
        <v>4013.17</v>
      </c>
      <c r="J272" s="40">
        <v>2.2928317606499214E-4</v>
      </c>
    </row>
    <row r="273" spans="1:10" x14ac:dyDescent="0.25">
      <c r="A273" s="43" t="s">
        <v>24</v>
      </c>
      <c r="B273" s="83"/>
      <c r="C273" s="83"/>
      <c r="D273" s="84" t="s">
        <v>3</v>
      </c>
      <c r="E273" s="85" t="s">
        <v>25</v>
      </c>
      <c r="F273" s="85"/>
      <c r="G273" s="85"/>
      <c r="H273" s="86"/>
      <c r="I273" s="87" t="s">
        <v>1911</v>
      </c>
      <c r="J273" s="44"/>
    </row>
    <row r="274" spans="1:10" ht="26.4" x14ac:dyDescent="0.25">
      <c r="A274" s="51"/>
      <c r="B274" s="83"/>
      <c r="C274" s="83"/>
      <c r="D274" s="84" t="s">
        <v>31</v>
      </c>
      <c r="E274" s="85">
        <f>4.26</f>
        <v>4.26</v>
      </c>
      <c r="F274" s="85"/>
      <c r="G274" s="85"/>
      <c r="H274" s="85"/>
      <c r="I274" s="88">
        <v>4.26</v>
      </c>
      <c r="J274" s="44" t="s">
        <v>27</v>
      </c>
    </row>
    <row r="275" spans="1:10" x14ac:dyDescent="0.25">
      <c r="A275" s="39" t="s">
        <v>289</v>
      </c>
      <c r="B275" s="16" t="s">
        <v>169</v>
      </c>
      <c r="C275" s="16" t="s">
        <v>21</v>
      </c>
      <c r="D275" s="17" t="s">
        <v>170</v>
      </c>
      <c r="E275" s="16" t="s">
        <v>89</v>
      </c>
      <c r="F275" s="27">
        <v>3214.46</v>
      </c>
      <c r="G275" s="67">
        <v>8.7799999999999994</v>
      </c>
      <c r="H275" s="67">
        <v>10.58</v>
      </c>
      <c r="I275" s="18">
        <v>34008.980000000003</v>
      </c>
      <c r="J275" s="40">
        <v>1.9430243296772369E-3</v>
      </c>
    </row>
    <row r="276" spans="1:10" x14ac:dyDescent="0.25">
      <c r="A276" s="43" t="s">
        <v>24</v>
      </c>
      <c r="B276" s="83"/>
      <c r="C276" s="83"/>
      <c r="D276" s="84" t="s">
        <v>3</v>
      </c>
      <c r="E276" s="85" t="s">
        <v>25</v>
      </c>
      <c r="F276" s="85"/>
      <c r="G276" s="85"/>
      <c r="H276" s="86"/>
      <c r="I276" s="87" t="s">
        <v>1911</v>
      </c>
      <c r="J276" s="44"/>
    </row>
    <row r="277" spans="1:10" ht="39.6" x14ac:dyDescent="0.25">
      <c r="A277" s="51"/>
      <c r="B277" s="83"/>
      <c r="C277" s="83"/>
      <c r="D277" s="84" t="s">
        <v>290</v>
      </c>
      <c r="E277" s="85">
        <f>3214.46</f>
        <v>3214.46</v>
      </c>
      <c r="F277" s="85"/>
      <c r="G277" s="85"/>
      <c r="H277" s="85"/>
      <c r="I277" s="88">
        <v>3214.46</v>
      </c>
      <c r="J277" s="44" t="s">
        <v>27</v>
      </c>
    </row>
    <row r="278" spans="1:10" x14ac:dyDescent="0.25">
      <c r="A278" s="39" t="s">
        <v>291</v>
      </c>
      <c r="B278" s="16" t="s">
        <v>292</v>
      </c>
      <c r="C278" s="16" t="s">
        <v>21</v>
      </c>
      <c r="D278" s="17" t="s">
        <v>293</v>
      </c>
      <c r="E278" s="16" t="s">
        <v>89</v>
      </c>
      <c r="F278" s="27">
        <v>1703.51</v>
      </c>
      <c r="G278" s="67">
        <v>7.53</v>
      </c>
      <c r="H278" s="67">
        <v>9.08</v>
      </c>
      <c r="I278" s="18">
        <v>15467.87</v>
      </c>
      <c r="J278" s="40">
        <v>8.8372093894861423E-4</v>
      </c>
    </row>
    <row r="279" spans="1:10" x14ac:dyDescent="0.25">
      <c r="A279" s="43" t="s">
        <v>24</v>
      </c>
      <c r="B279" s="83"/>
      <c r="C279" s="83"/>
      <c r="D279" s="84" t="s">
        <v>3</v>
      </c>
      <c r="E279" s="85" t="s">
        <v>25</v>
      </c>
      <c r="F279" s="85"/>
      <c r="G279" s="85"/>
      <c r="H279" s="86"/>
      <c r="I279" s="87" t="s">
        <v>1911</v>
      </c>
      <c r="J279" s="44"/>
    </row>
    <row r="280" spans="1:10" ht="39.6" x14ac:dyDescent="0.25">
      <c r="A280" s="51"/>
      <c r="B280" s="83"/>
      <c r="C280" s="83"/>
      <c r="D280" s="84" t="s">
        <v>294</v>
      </c>
      <c r="E280" s="85">
        <f>1703.51</f>
        <v>1703.51</v>
      </c>
      <c r="F280" s="85"/>
      <c r="G280" s="85"/>
      <c r="H280" s="85"/>
      <c r="I280" s="88">
        <v>1703.51</v>
      </c>
      <c r="J280" s="44" t="s">
        <v>27</v>
      </c>
    </row>
    <row r="281" spans="1:10" x14ac:dyDescent="0.25">
      <c r="A281" s="39" t="s">
        <v>295</v>
      </c>
      <c r="B281" s="16" t="s">
        <v>296</v>
      </c>
      <c r="C281" s="16" t="s">
        <v>21</v>
      </c>
      <c r="D281" s="17" t="s">
        <v>297</v>
      </c>
      <c r="E281" s="16" t="s">
        <v>89</v>
      </c>
      <c r="F281" s="27">
        <v>3459.71</v>
      </c>
      <c r="G281" s="67">
        <v>7.46</v>
      </c>
      <c r="H281" s="67">
        <v>8.99</v>
      </c>
      <c r="I281" s="18">
        <v>31102.79</v>
      </c>
      <c r="J281" s="40">
        <v>1.7769858928683502E-3</v>
      </c>
    </row>
    <row r="282" spans="1:10" x14ac:dyDescent="0.25">
      <c r="A282" s="43" t="s">
        <v>24</v>
      </c>
      <c r="B282" s="83"/>
      <c r="C282" s="83"/>
      <c r="D282" s="84" t="s">
        <v>3</v>
      </c>
      <c r="E282" s="85" t="s">
        <v>25</v>
      </c>
      <c r="F282" s="85"/>
      <c r="G282" s="85"/>
      <c r="H282" s="86"/>
      <c r="I282" s="87" t="s">
        <v>1911</v>
      </c>
      <c r="J282" s="44"/>
    </row>
    <row r="283" spans="1:10" ht="26.4" x14ac:dyDescent="0.25">
      <c r="A283" s="51"/>
      <c r="B283" s="83"/>
      <c r="C283" s="83"/>
      <c r="D283" s="84" t="s">
        <v>31</v>
      </c>
      <c r="E283" s="85">
        <f>3459.71</f>
        <v>3459.71</v>
      </c>
      <c r="F283" s="85"/>
      <c r="G283" s="85"/>
      <c r="H283" s="85"/>
      <c r="I283" s="88">
        <v>3459.71</v>
      </c>
      <c r="J283" s="44" t="s">
        <v>27</v>
      </c>
    </row>
    <row r="284" spans="1:10" x14ac:dyDescent="0.25">
      <c r="A284" s="39" t="s">
        <v>298</v>
      </c>
      <c r="B284" s="16" t="s">
        <v>299</v>
      </c>
      <c r="C284" s="16" t="s">
        <v>21</v>
      </c>
      <c r="D284" s="17" t="s">
        <v>300</v>
      </c>
      <c r="E284" s="16" t="s">
        <v>89</v>
      </c>
      <c r="F284" s="27">
        <v>2949.65</v>
      </c>
      <c r="G284" s="67">
        <v>8.7899999999999991</v>
      </c>
      <c r="H284" s="67">
        <v>10.6</v>
      </c>
      <c r="I284" s="18">
        <v>31266.29</v>
      </c>
      <c r="J284" s="40">
        <v>1.7863270868089573E-3</v>
      </c>
    </row>
    <row r="285" spans="1:10" x14ac:dyDescent="0.25">
      <c r="A285" s="43" t="s">
        <v>24</v>
      </c>
      <c r="B285" s="83"/>
      <c r="C285" s="83"/>
      <c r="D285" s="84" t="s">
        <v>3</v>
      </c>
      <c r="E285" s="85" t="s">
        <v>25</v>
      </c>
      <c r="F285" s="85"/>
      <c r="G285" s="85"/>
      <c r="H285" s="86"/>
      <c r="I285" s="87" t="s">
        <v>1911</v>
      </c>
      <c r="J285" s="44"/>
    </row>
    <row r="286" spans="1:10" ht="26.4" x14ac:dyDescent="0.25">
      <c r="A286" s="51"/>
      <c r="B286" s="83"/>
      <c r="C286" s="83"/>
      <c r="D286" s="84" t="s">
        <v>31</v>
      </c>
      <c r="E286" s="85">
        <f>2949.65</f>
        <v>2949.65</v>
      </c>
      <c r="F286" s="85"/>
      <c r="G286" s="85"/>
      <c r="H286" s="85"/>
      <c r="I286" s="88">
        <v>2949.65</v>
      </c>
      <c r="J286" s="44" t="s">
        <v>27</v>
      </c>
    </row>
    <row r="287" spans="1:10" ht="39.6" x14ac:dyDescent="0.25">
      <c r="A287" s="39" t="s">
        <v>301</v>
      </c>
      <c r="B287" s="16" t="s">
        <v>98</v>
      </c>
      <c r="C287" s="16" t="s">
        <v>21</v>
      </c>
      <c r="D287" s="17" t="s">
        <v>99</v>
      </c>
      <c r="E287" s="16" t="s">
        <v>23</v>
      </c>
      <c r="F287" s="27">
        <v>443.125</v>
      </c>
      <c r="G287" s="67">
        <v>40.08</v>
      </c>
      <c r="H287" s="67">
        <v>48.33</v>
      </c>
      <c r="I287" s="18">
        <v>21416.23</v>
      </c>
      <c r="J287" s="40">
        <v>1.2235667150253707E-3</v>
      </c>
    </row>
    <row r="288" spans="1:10" x14ac:dyDescent="0.25">
      <c r="A288" s="43" t="s">
        <v>24</v>
      </c>
      <c r="B288" s="83"/>
      <c r="C288" s="83"/>
      <c r="D288" s="84" t="s">
        <v>3</v>
      </c>
      <c r="E288" s="85" t="s">
        <v>25</v>
      </c>
      <c r="F288" s="85"/>
      <c r="G288" s="85"/>
      <c r="H288" s="86"/>
      <c r="I288" s="87" t="s">
        <v>1911</v>
      </c>
      <c r="J288" s="44"/>
    </row>
    <row r="289" spans="1:10" ht="26.4" x14ac:dyDescent="0.25">
      <c r="A289" s="51"/>
      <c r="B289" s="83"/>
      <c r="C289" s="83"/>
      <c r="D289" s="84" t="s">
        <v>31</v>
      </c>
      <c r="E289" s="85">
        <f>443.125</f>
        <v>443.125</v>
      </c>
      <c r="F289" s="85"/>
      <c r="G289" s="85"/>
      <c r="H289" s="85"/>
      <c r="I289" s="88">
        <v>443.125</v>
      </c>
      <c r="J289" s="44" t="s">
        <v>27</v>
      </c>
    </row>
    <row r="290" spans="1:10" ht="39.6" x14ac:dyDescent="0.25">
      <c r="A290" s="39" t="s">
        <v>302</v>
      </c>
      <c r="B290" s="16" t="s">
        <v>303</v>
      </c>
      <c r="C290" s="16" t="s">
        <v>21</v>
      </c>
      <c r="D290" s="17" t="s">
        <v>304</v>
      </c>
      <c r="E290" s="16" t="s">
        <v>52</v>
      </c>
      <c r="F290" s="27">
        <v>40</v>
      </c>
      <c r="G290" s="67">
        <v>87.11</v>
      </c>
      <c r="H290" s="67">
        <v>105.05</v>
      </c>
      <c r="I290" s="18">
        <v>4202</v>
      </c>
      <c r="J290" s="40">
        <v>2.4007154090783522E-4</v>
      </c>
    </row>
    <row r="291" spans="1:10" x14ac:dyDescent="0.25">
      <c r="A291" s="43" t="s">
        <v>24</v>
      </c>
      <c r="B291" s="83"/>
      <c r="C291" s="83"/>
      <c r="D291" s="84" t="s">
        <v>3</v>
      </c>
      <c r="E291" s="85" t="s">
        <v>25</v>
      </c>
      <c r="F291" s="85"/>
      <c r="G291" s="85"/>
      <c r="H291" s="86"/>
      <c r="I291" s="87" t="s">
        <v>1911</v>
      </c>
      <c r="J291" s="44"/>
    </row>
    <row r="292" spans="1:10" ht="26.4" x14ac:dyDescent="0.25">
      <c r="A292" s="51"/>
      <c r="B292" s="83"/>
      <c r="C292" s="83"/>
      <c r="D292" s="84" t="s">
        <v>31</v>
      </c>
      <c r="E292" s="85">
        <f>40</f>
        <v>40</v>
      </c>
      <c r="F292" s="85"/>
      <c r="G292" s="85"/>
      <c r="H292" s="85"/>
      <c r="I292" s="88">
        <v>40</v>
      </c>
      <c r="J292" s="44" t="s">
        <v>27</v>
      </c>
    </row>
    <row r="293" spans="1:10" ht="26.4" x14ac:dyDescent="0.25">
      <c r="A293" s="39" t="s">
        <v>305</v>
      </c>
      <c r="B293" s="16" t="s">
        <v>306</v>
      </c>
      <c r="C293" s="16" t="s">
        <v>21</v>
      </c>
      <c r="D293" s="17" t="s">
        <v>307</v>
      </c>
      <c r="E293" s="16" t="s">
        <v>66</v>
      </c>
      <c r="F293" s="27">
        <v>188.81</v>
      </c>
      <c r="G293" s="67">
        <v>610.36</v>
      </c>
      <c r="H293" s="67">
        <v>736.09</v>
      </c>
      <c r="I293" s="18">
        <v>138981.15</v>
      </c>
      <c r="J293" s="40">
        <v>7.9403662155266494E-3</v>
      </c>
    </row>
    <row r="294" spans="1:10" x14ac:dyDescent="0.25">
      <c r="A294" s="43" t="s">
        <v>24</v>
      </c>
      <c r="B294" s="83"/>
      <c r="C294" s="83"/>
      <c r="D294" s="84" t="s">
        <v>3</v>
      </c>
      <c r="E294" s="85" t="s">
        <v>25</v>
      </c>
      <c r="F294" s="85"/>
      <c r="G294" s="85"/>
      <c r="H294" s="86"/>
      <c r="I294" s="87" t="s">
        <v>1911</v>
      </c>
      <c r="J294" s="44"/>
    </row>
    <row r="295" spans="1:10" ht="39.6" x14ac:dyDescent="0.25">
      <c r="A295" s="51"/>
      <c r="B295" s="83"/>
      <c r="C295" s="83"/>
      <c r="D295" s="84" t="s">
        <v>290</v>
      </c>
      <c r="E295" s="85">
        <f>188.81</f>
        <v>188.81</v>
      </c>
      <c r="F295" s="85"/>
      <c r="G295" s="85"/>
      <c r="H295" s="85"/>
      <c r="I295" s="88">
        <v>188.81</v>
      </c>
      <c r="J295" s="44" t="s">
        <v>27</v>
      </c>
    </row>
    <row r="296" spans="1:10" x14ac:dyDescent="0.25">
      <c r="A296" s="41" t="s">
        <v>308</v>
      </c>
      <c r="B296" s="13"/>
      <c r="C296" s="13"/>
      <c r="D296" s="14" t="s">
        <v>309</v>
      </c>
      <c r="E296" s="14"/>
      <c r="F296" s="26">
        <v>1</v>
      </c>
      <c r="G296" s="66"/>
      <c r="H296" s="66"/>
      <c r="I296" s="15">
        <v>97072.57</v>
      </c>
      <c r="J296" s="42">
        <v>5.5460165301722264E-3</v>
      </c>
    </row>
    <row r="297" spans="1:10" x14ac:dyDescent="0.25">
      <c r="A297" s="39" t="s">
        <v>310</v>
      </c>
      <c r="B297" s="16" t="s">
        <v>163</v>
      </c>
      <c r="C297" s="16" t="s">
        <v>21</v>
      </c>
      <c r="D297" s="17" t="s">
        <v>164</v>
      </c>
      <c r="E297" s="16" t="s">
        <v>89</v>
      </c>
      <c r="F297" s="27">
        <v>85.6</v>
      </c>
      <c r="G297" s="67">
        <v>9.56</v>
      </c>
      <c r="H297" s="67">
        <v>11.52</v>
      </c>
      <c r="I297" s="18">
        <v>986.11</v>
      </c>
      <c r="J297" s="40">
        <v>5.6339111662214513E-5</v>
      </c>
    </row>
    <row r="298" spans="1:10" x14ac:dyDescent="0.25">
      <c r="A298" s="43" t="s">
        <v>24</v>
      </c>
      <c r="B298" s="83"/>
      <c r="C298" s="83"/>
      <c r="D298" s="84" t="s">
        <v>3</v>
      </c>
      <c r="E298" s="85" t="s">
        <v>25</v>
      </c>
      <c r="F298" s="85"/>
      <c r="G298" s="85"/>
      <c r="H298" s="86"/>
      <c r="I298" s="87" t="s">
        <v>1911</v>
      </c>
      <c r="J298" s="44"/>
    </row>
    <row r="299" spans="1:10" ht="26.4" x14ac:dyDescent="0.25">
      <c r="A299" s="51"/>
      <c r="B299" s="83"/>
      <c r="C299" s="83"/>
      <c r="D299" s="84" t="s">
        <v>31</v>
      </c>
      <c r="E299" s="85">
        <f>85.6</f>
        <v>85.6</v>
      </c>
      <c r="F299" s="85"/>
      <c r="G299" s="85"/>
      <c r="H299" s="85"/>
      <c r="I299" s="88">
        <v>85.6</v>
      </c>
      <c r="J299" s="44" t="s">
        <v>27</v>
      </c>
    </row>
    <row r="300" spans="1:10" x14ac:dyDescent="0.25">
      <c r="A300" s="39" t="s">
        <v>311</v>
      </c>
      <c r="B300" s="16" t="s">
        <v>169</v>
      </c>
      <c r="C300" s="16" t="s">
        <v>21</v>
      </c>
      <c r="D300" s="17" t="s">
        <v>170</v>
      </c>
      <c r="E300" s="16" t="s">
        <v>89</v>
      </c>
      <c r="F300" s="27">
        <v>154.5</v>
      </c>
      <c r="G300" s="67">
        <v>8.7799999999999994</v>
      </c>
      <c r="H300" s="67">
        <v>10.58</v>
      </c>
      <c r="I300" s="18">
        <v>1634.61</v>
      </c>
      <c r="J300" s="40">
        <v>9.3389657659056753E-5</v>
      </c>
    </row>
    <row r="301" spans="1:10" x14ac:dyDescent="0.25">
      <c r="A301" s="43" t="s">
        <v>24</v>
      </c>
      <c r="B301" s="83"/>
      <c r="C301" s="83"/>
      <c r="D301" s="84" t="s">
        <v>3</v>
      </c>
      <c r="E301" s="85" t="s">
        <v>25</v>
      </c>
      <c r="F301" s="85"/>
      <c r="G301" s="85"/>
      <c r="H301" s="86"/>
      <c r="I301" s="87" t="s">
        <v>1911</v>
      </c>
      <c r="J301" s="44"/>
    </row>
    <row r="302" spans="1:10" ht="26.4" x14ac:dyDescent="0.25">
      <c r="A302" s="51"/>
      <c r="B302" s="83"/>
      <c r="C302" s="83"/>
      <c r="D302" s="84" t="s">
        <v>31</v>
      </c>
      <c r="E302" s="85">
        <f>154.5</f>
        <v>154.5</v>
      </c>
      <c r="F302" s="85"/>
      <c r="G302" s="85"/>
      <c r="H302" s="85"/>
      <c r="I302" s="88">
        <v>154.5</v>
      </c>
      <c r="J302" s="44" t="s">
        <v>27</v>
      </c>
    </row>
    <row r="303" spans="1:10" ht="26.4" x14ac:dyDescent="0.25">
      <c r="A303" s="39" t="s">
        <v>312</v>
      </c>
      <c r="B303" s="16" t="s">
        <v>175</v>
      </c>
      <c r="C303" s="16" t="s">
        <v>21</v>
      </c>
      <c r="D303" s="17" t="s">
        <v>176</v>
      </c>
      <c r="E303" s="16" t="s">
        <v>23</v>
      </c>
      <c r="F303" s="27">
        <v>29.75</v>
      </c>
      <c r="G303" s="67">
        <v>158.59</v>
      </c>
      <c r="H303" s="67">
        <v>191.25</v>
      </c>
      <c r="I303" s="18">
        <v>5689.68</v>
      </c>
      <c r="J303" s="40">
        <v>3.2506669321096904E-4</v>
      </c>
    </row>
    <row r="304" spans="1:10" x14ac:dyDescent="0.25">
      <c r="A304" s="43" t="s">
        <v>24</v>
      </c>
      <c r="B304" s="83"/>
      <c r="C304" s="83"/>
      <c r="D304" s="84" t="s">
        <v>3</v>
      </c>
      <c r="E304" s="85" t="s">
        <v>25</v>
      </c>
      <c r="F304" s="85"/>
      <c r="G304" s="85"/>
      <c r="H304" s="86"/>
      <c r="I304" s="87" t="s">
        <v>1911</v>
      </c>
      <c r="J304" s="44"/>
    </row>
    <row r="305" spans="1:10" ht="26.4" x14ac:dyDescent="0.25">
      <c r="A305" s="51"/>
      <c r="B305" s="83"/>
      <c r="C305" s="83"/>
      <c r="D305" s="84" t="s">
        <v>31</v>
      </c>
      <c r="E305" s="85">
        <f>29.75</f>
        <v>29.75</v>
      </c>
      <c r="F305" s="85"/>
      <c r="G305" s="85"/>
      <c r="H305" s="85"/>
      <c r="I305" s="88">
        <v>29.75</v>
      </c>
      <c r="J305" s="44" t="s">
        <v>27</v>
      </c>
    </row>
    <row r="306" spans="1:10" ht="26.4" x14ac:dyDescent="0.25">
      <c r="A306" s="39" t="s">
        <v>313</v>
      </c>
      <c r="B306" s="16" t="s">
        <v>172</v>
      </c>
      <c r="C306" s="16" t="s">
        <v>21</v>
      </c>
      <c r="D306" s="17" t="s">
        <v>173</v>
      </c>
      <c r="E306" s="16" t="s">
        <v>23</v>
      </c>
      <c r="F306" s="27">
        <v>116.7</v>
      </c>
      <c r="G306" s="67">
        <v>180.25</v>
      </c>
      <c r="H306" s="67">
        <v>217.38</v>
      </c>
      <c r="I306" s="18">
        <v>25368.240000000002</v>
      </c>
      <c r="J306" s="40">
        <v>1.4493556560970446E-3</v>
      </c>
    </row>
    <row r="307" spans="1:10" x14ac:dyDescent="0.25">
      <c r="A307" s="43" t="s">
        <v>24</v>
      </c>
      <c r="B307" s="83"/>
      <c r="C307" s="83"/>
      <c r="D307" s="84" t="s">
        <v>3</v>
      </c>
      <c r="E307" s="85" t="s">
        <v>25</v>
      </c>
      <c r="F307" s="85"/>
      <c r="G307" s="85"/>
      <c r="H307" s="86"/>
      <c r="I307" s="87" t="s">
        <v>1911</v>
      </c>
      <c r="J307" s="44"/>
    </row>
    <row r="308" spans="1:10" ht="26.4" x14ac:dyDescent="0.25">
      <c r="A308" s="51"/>
      <c r="B308" s="83"/>
      <c r="C308" s="83"/>
      <c r="D308" s="84" t="s">
        <v>31</v>
      </c>
      <c r="E308" s="85">
        <f>116.7</f>
        <v>116.7</v>
      </c>
      <c r="F308" s="85"/>
      <c r="G308" s="85"/>
      <c r="H308" s="85"/>
      <c r="I308" s="88">
        <v>116.7</v>
      </c>
      <c r="J308" s="44" t="s">
        <v>27</v>
      </c>
    </row>
    <row r="309" spans="1:10" ht="39.6" x14ac:dyDescent="0.25">
      <c r="A309" s="39" t="s">
        <v>314</v>
      </c>
      <c r="B309" s="16" t="s">
        <v>178</v>
      </c>
      <c r="C309" s="16" t="s">
        <v>21</v>
      </c>
      <c r="D309" s="17" t="s">
        <v>179</v>
      </c>
      <c r="E309" s="16" t="s">
        <v>66</v>
      </c>
      <c r="F309" s="27">
        <v>12.88</v>
      </c>
      <c r="G309" s="67">
        <v>509.09</v>
      </c>
      <c r="H309" s="67">
        <v>613.96</v>
      </c>
      <c r="I309" s="18">
        <v>7907.8</v>
      </c>
      <c r="J309" s="40">
        <v>4.5179384369133254E-4</v>
      </c>
    </row>
    <row r="310" spans="1:10" x14ac:dyDescent="0.25">
      <c r="A310" s="43" t="s">
        <v>24</v>
      </c>
      <c r="B310" s="83"/>
      <c r="C310" s="83"/>
      <c r="D310" s="84" t="s">
        <v>3</v>
      </c>
      <c r="E310" s="85" t="s">
        <v>25</v>
      </c>
      <c r="F310" s="85"/>
      <c r="G310" s="85"/>
      <c r="H310" s="86"/>
      <c r="I310" s="87" t="s">
        <v>1911</v>
      </c>
      <c r="J310" s="44"/>
    </row>
    <row r="311" spans="1:10" ht="26.4" x14ac:dyDescent="0.25">
      <c r="A311" s="51"/>
      <c r="B311" s="83"/>
      <c r="C311" s="83"/>
      <c r="D311" s="84" t="s">
        <v>31</v>
      </c>
      <c r="E311" s="85">
        <f>12.88</f>
        <v>12.88</v>
      </c>
      <c r="F311" s="85"/>
      <c r="G311" s="85"/>
      <c r="H311" s="85"/>
      <c r="I311" s="88">
        <v>12.88</v>
      </c>
      <c r="J311" s="44" t="s">
        <v>27</v>
      </c>
    </row>
    <row r="312" spans="1:10" ht="26.4" x14ac:dyDescent="0.25">
      <c r="A312" s="39" t="s">
        <v>315</v>
      </c>
      <c r="B312" s="16" t="s">
        <v>104</v>
      </c>
      <c r="C312" s="16" t="s">
        <v>21</v>
      </c>
      <c r="D312" s="17" t="s">
        <v>105</v>
      </c>
      <c r="E312" s="16" t="s">
        <v>66</v>
      </c>
      <c r="F312" s="27">
        <v>12.88</v>
      </c>
      <c r="G312" s="67">
        <v>38.770000000000003</v>
      </c>
      <c r="H312" s="67">
        <v>46.75</v>
      </c>
      <c r="I312" s="18">
        <v>602.14</v>
      </c>
      <c r="J312" s="40">
        <v>3.4401874736374078E-5</v>
      </c>
    </row>
    <row r="313" spans="1:10" x14ac:dyDescent="0.25">
      <c r="A313" s="43" t="s">
        <v>24</v>
      </c>
      <c r="B313" s="83"/>
      <c r="C313" s="83"/>
      <c r="D313" s="84" t="s">
        <v>3</v>
      </c>
      <c r="E313" s="85" t="s">
        <v>25</v>
      </c>
      <c r="F313" s="85"/>
      <c r="G313" s="85"/>
      <c r="H313" s="86"/>
      <c r="I313" s="87" t="s">
        <v>1911</v>
      </c>
      <c r="J313" s="44"/>
    </row>
    <row r="314" spans="1:10" ht="26.4" x14ac:dyDescent="0.25">
      <c r="A314" s="51"/>
      <c r="B314" s="83"/>
      <c r="C314" s="83"/>
      <c r="D314" s="84" t="s">
        <v>31</v>
      </c>
      <c r="E314" s="85">
        <f>12.88</f>
        <v>12.88</v>
      </c>
      <c r="F314" s="85"/>
      <c r="G314" s="85"/>
      <c r="H314" s="85"/>
      <c r="I314" s="88">
        <v>12.88</v>
      </c>
      <c r="J314" s="44" t="s">
        <v>27</v>
      </c>
    </row>
    <row r="315" spans="1:10" ht="39.6" x14ac:dyDescent="0.25">
      <c r="A315" s="39" t="s">
        <v>316</v>
      </c>
      <c r="B315" s="16" t="s">
        <v>192</v>
      </c>
      <c r="C315" s="16" t="s">
        <v>14</v>
      </c>
      <c r="D315" s="17" t="s">
        <v>193</v>
      </c>
      <c r="E315" s="16" t="s">
        <v>138</v>
      </c>
      <c r="F315" s="27">
        <v>66.37</v>
      </c>
      <c r="G315" s="67">
        <v>207.31</v>
      </c>
      <c r="H315" s="67">
        <v>250.01</v>
      </c>
      <c r="I315" s="18">
        <v>16593.16</v>
      </c>
      <c r="J315" s="40">
        <v>9.4801177766069844E-4</v>
      </c>
    </row>
    <row r="316" spans="1:10" x14ac:dyDescent="0.25">
      <c r="A316" s="43" t="s">
        <v>24</v>
      </c>
      <c r="B316" s="83"/>
      <c r="C316" s="83"/>
      <c r="D316" s="84" t="s">
        <v>3</v>
      </c>
      <c r="E316" s="85" t="s">
        <v>25</v>
      </c>
      <c r="F316" s="85"/>
      <c r="G316" s="85"/>
      <c r="H316" s="86"/>
      <c r="I316" s="87" t="s">
        <v>1911</v>
      </c>
      <c r="J316" s="44"/>
    </row>
    <row r="317" spans="1:10" ht="26.4" x14ac:dyDescent="0.25">
      <c r="A317" s="51"/>
      <c r="B317" s="83"/>
      <c r="C317" s="83"/>
      <c r="D317" s="84" t="s">
        <v>31</v>
      </c>
      <c r="E317" s="85">
        <f>66.37</f>
        <v>66.37</v>
      </c>
      <c r="F317" s="85"/>
      <c r="G317" s="85"/>
      <c r="H317" s="85"/>
      <c r="I317" s="88">
        <v>66.37</v>
      </c>
      <c r="J317" s="44" t="s">
        <v>27</v>
      </c>
    </row>
    <row r="318" spans="1:10" ht="52.8" x14ac:dyDescent="0.25">
      <c r="A318" s="39" t="s">
        <v>317</v>
      </c>
      <c r="B318" s="16" t="s">
        <v>182</v>
      </c>
      <c r="C318" s="16" t="s">
        <v>21</v>
      </c>
      <c r="D318" s="17" t="s">
        <v>183</v>
      </c>
      <c r="E318" s="16" t="s">
        <v>23</v>
      </c>
      <c r="F318" s="27">
        <v>86.31</v>
      </c>
      <c r="G318" s="67">
        <v>128.99</v>
      </c>
      <c r="H318" s="67">
        <v>155.56</v>
      </c>
      <c r="I318" s="18">
        <v>13426.38</v>
      </c>
      <c r="J318" s="40">
        <v>7.67085134558339E-4</v>
      </c>
    </row>
    <row r="319" spans="1:10" x14ac:dyDescent="0.25">
      <c r="A319" s="43" t="s">
        <v>24</v>
      </c>
      <c r="B319" s="83"/>
      <c r="C319" s="83"/>
      <c r="D319" s="84" t="s">
        <v>3</v>
      </c>
      <c r="E319" s="85" t="s">
        <v>25</v>
      </c>
      <c r="F319" s="85"/>
      <c r="G319" s="85"/>
      <c r="H319" s="86"/>
      <c r="I319" s="87" t="s">
        <v>1911</v>
      </c>
      <c r="J319" s="44"/>
    </row>
    <row r="320" spans="1:10" ht="26.4" x14ac:dyDescent="0.25">
      <c r="A320" s="51"/>
      <c r="B320" s="83"/>
      <c r="C320" s="83"/>
      <c r="D320" s="84" t="s">
        <v>31</v>
      </c>
      <c r="E320" s="85">
        <f>86.31</f>
        <v>86.31</v>
      </c>
      <c r="F320" s="85"/>
      <c r="G320" s="85"/>
      <c r="H320" s="85"/>
      <c r="I320" s="88">
        <v>86.31</v>
      </c>
      <c r="J320" s="44" t="s">
        <v>27</v>
      </c>
    </row>
    <row r="321" spans="1:10" ht="39.6" x14ac:dyDescent="0.25">
      <c r="A321" s="39" t="s">
        <v>318</v>
      </c>
      <c r="B321" s="16" t="s">
        <v>185</v>
      </c>
      <c r="C321" s="16" t="s">
        <v>21</v>
      </c>
      <c r="D321" s="17" t="s">
        <v>186</v>
      </c>
      <c r="E321" s="16" t="s">
        <v>23</v>
      </c>
      <c r="F321" s="27">
        <v>172.62</v>
      </c>
      <c r="G321" s="67">
        <v>4.26</v>
      </c>
      <c r="H321" s="67">
        <v>5.13</v>
      </c>
      <c r="I321" s="18">
        <v>885.54</v>
      </c>
      <c r="J321" s="40">
        <v>5.0593277566759733E-5</v>
      </c>
    </row>
    <row r="322" spans="1:10" x14ac:dyDescent="0.25">
      <c r="A322" s="43" t="s">
        <v>24</v>
      </c>
      <c r="B322" s="83"/>
      <c r="C322" s="83"/>
      <c r="D322" s="84" t="s">
        <v>3</v>
      </c>
      <c r="E322" s="85" t="s">
        <v>25</v>
      </c>
      <c r="F322" s="85"/>
      <c r="G322" s="85"/>
      <c r="H322" s="86"/>
      <c r="I322" s="87" t="s">
        <v>1911</v>
      </c>
      <c r="J322" s="44"/>
    </row>
    <row r="323" spans="1:10" ht="26.4" x14ac:dyDescent="0.25">
      <c r="A323" s="51"/>
      <c r="B323" s="83"/>
      <c r="C323" s="83"/>
      <c r="D323" s="84" t="s">
        <v>31</v>
      </c>
      <c r="E323" s="85">
        <f>86.31*2</f>
        <v>172.62</v>
      </c>
      <c r="F323" s="85"/>
      <c r="G323" s="85"/>
      <c r="H323" s="85"/>
      <c r="I323" s="88">
        <v>172.62</v>
      </c>
      <c r="J323" s="44" t="s">
        <v>27</v>
      </c>
    </row>
    <row r="324" spans="1:10" ht="52.8" x14ac:dyDescent="0.25">
      <c r="A324" s="39" t="s">
        <v>319</v>
      </c>
      <c r="B324" s="16" t="s">
        <v>188</v>
      </c>
      <c r="C324" s="16" t="s">
        <v>21</v>
      </c>
      <c r="D324" s="17" t="s">
        <v>189</v>
      </c>
      <c r="E324" s="16" t="s">
        <v>23</v>
      </c>
      <c r="F324" s="27">
        <v>172.62</v>
      </c>
      <c r="G324" s="67">
        <v>43.48</v>
      </c>
      <c r="H324" s="67">
        <v>52.43</v>
      </c>
      <c r="I324" s="18">
        <v>9050.4599999999991</v>
      </c>
      <c r="J324" s="40">
        <v>5.1707707713582248E-4</v>
      </c>
    </row>
    <row r="325" spans="1:10" x14ac:dyDescent="0.25">
      <c r="A325" s="43" t="s">
        <v>24</v>
      </c>
      <c r="B325" s="83"/>
      <c r="C325" s="83"/>
      <c r="D325" s="84" t="s">
        <v>3</v>
      </c>
      <c r="E325" s="85" t="s">
        <v>25</v>
      </c>
      <c r="F325" s="85"/>
      <c r="G325" s="85"/>
      <c r="H325" s="86"/>
      <c r="I325" s="87" t="s">
        <v>1911</v>
      </c>
      <c r="J325" s="44"/>
    </row>
    <row r="326" spans="1:10" ht="26.4" x14ac:dyDescent="0.25">
      <c r="A326" s="51"/>
      <c r="B326" s="83"/>
      <c r="C326" s="83"/>
      <c r="D326" s="84" t="s">
        <v>31</v>
      </c>
      <c r="E326" s="85">
        <f>172.62</f>
        <v>172.62</v>
      </c>
      <c r="F326" s="85"/>
      <c r="G326" s="85"/>
      <c r="H326" s="85"/>
      <c r="I326" s="88">
        <v>172.62</v>
      </c>
      <c r="J326" s="44" t="s">
        <v>27</v>
      </c>
    </row>
    <row r="327" spans="1:10" ht="39.6" x14ac:dyDescent="0.25">
      <c r="A327" s="39" t="s">
        <v>320</v>
      </c>
      <c r="B327" s="16" t="s">
        <v>140</v>
      </c>
      <c r="C327" s="16" t="s">
        <v>21</v>
      </c>
      <c r="D327" s="17" t="s">
        <v>141</v>
      </c>
      <c r="E327" s="16" t="s">
        <v>23</v>
      </c>
      <c r="F327" s="27">
        <v>86.31</v>
      </c>
      <c r="G327" s="67">
        <v>57.1</v>
      </c>
      <c r="H327" s="67">
        <v>68.86</v>
      </c>
      <c r="I327" s="18">
        <v>5943.3</v>
      </c>
      <c r="J327" s="40">
        <v>3.3955668469241716E-4</v>
      </c>
    </row>
    <row r="328" spans="1:10" x14ac:dyDescent="0.25">
      <c r="A328" s="43" t="s">
        <v>24</v>
      </c>
      <c r="B328" s="83"/>
      <c r="C328" s="83"/>
      <c r="D328" s="84" t="s">
        <v>3</v>
      </c>
      <c r="E328" s="85" t="s">
        <v>25</v>
      </c>
      <c r="F328" s="85"/>
      <c r="G328" s="85"/>
      <c r="H328" s="86"/>
      <c r="I328" s="87" t="s">
        <v>1911</v>
      </c>
      <c r="J328" s="44"/>
    </row>
    <row r="329" spans="1:10" ht="26.4" x14ac:dyDescent="0.25">
      <c r="A329" s="51"/>
      <c r="B329" s="83"/>
      <c r="C329" s="83"/>
      <c r="D329" s="84" t="s">
        <v>31</v>
      </c>
      <c r="E329" s="85">
        <f>86.31</f>
        <v>86.31</v>
      </c>
      <c r="F329" s="85"/>
      <c r="G329" s="85"/>
      <c r="H329" s="85"/>
      <c r="I329" s="88">
        <v>86.31</v>
      </c>
      <c r="J329" s="44" t="s">
        <v>27</v>
      </c>
    </row>
    <row r="330" spans="1:10" ht="26.4" x14ac:dyDescent="0.25">
      <c r="A330" s="39" t="s">
        <v>321</v>
      </c>
      <c r="B330" s="16" t="s">
        <v>195</v>
      </c>
      <c r="C330" s="16" t="s">
        <v>21</v>
      </c>
      <c r="D330" s="17" t="s">
        <v>196</v>
      </c>
      <c r="E330" s="16" t="s">
        <v>23</v>
      </c>
      <c r="F330" s="27">
        <v>68.260000000000005</v>
      </c>
      <c r="G330" s="67">
        <v>27.18</v>
      </c>
      <c r="H330" s="67">
        <v>32.770000000000003</v>
      </c>
      <c r="I330" s="18">
        <v>2236.88</v>
      </c>
      <c r="J330" s="40">
        <v>1.277989596444356E-4</v>
      </c>
    </row>
    <row r="331" spans="1:10" x14ac:dyDescent="0.25">
      <c r="A331" s="43" t="s">
        <v>24</v>
      </c>
      <c r="B331" s="83"/>
      <c r="C331" s="83"/>
      <c r="D331" s="84" t="s">
        <v>3</v>
      </c>
      <c r="E331" s="85" t="s">
        <v>25</v>
      </c>
      <c r="F331" s="85"/>
      <c r="G331" s="85"/>
      <c r="H331" s="86"/>
      <c r="I331" s="87" t="s">
        <v>1911</v>
      </c>
      <c r="J331" s="44"/>
    </row>
    <row r="332" spans="1:10" ht="26.4" x14ac:dyDescent="0.25">
      <c r="A332" s="51"/>
      <c r="B332" s="83"/>
      <c r="C332" s="83"/>
      <c r="D332" s="84" t="s">
        <v>31</v>
      </c>
      <c r="E332" s="85">
        <f>68.26</f>
        <v>68.260000000000005</v>
      </c>
      <c r="F332" s="85"/>
      <c r="G332" s="85"/>
      <c r="H332" s="85"/>
      <c r="I332" s="88">
        <v>68.260000000000005</v>
      </c>
      <c r="J332" s="44" t="s">
        <v>27</v>
      </c>
    </row>
    <row r="333" spans="1:10" ht="26.4" x14ac:dyDescent="0.25">
      <c r="A333" s="39" t="s">
        <v>322</v>
      </c>
      <c r="B333" s="16" t="s">
        <v>123</v>
      </c>
      <c r="C333" s="16" t="s">
        <v>14</v>
      </c>
      <c r="D333" s="17" t="s">
        <v>124</v>
      </c>
      <c r="E333" s="16" t="s">
        <v>16</v>
      </c>
      <c r="F333" s="27">
        <v>2</v>
      </c>
      <c r="G333" s="67">
        <v>448.26</v>
      </c>
      <c r="H333" s="67">
        <v>540.6</v>
      </c>
      <c r="I333" s="18">
        <v>1081.2</v>
      </c>
      <c r="J333" s="40">
        <v>6.177185864577616E-5</v>
      </c>
    </row>
    <row r="334" spans="1:10" x14ac:dyDescent="0.25">
      <c r="A334" s="43" t="s">
        <v>24</v>
      </c>
      <c r="B334" s="83"/>
      <c r="C334" s="83"/>
      <c r="D334" s="84" t="s">
        <v>3</v>
      </c>
      <c r="E334" s="85" t="s">
        <v>25</v>
      </c>
      <c r="F334" s="85"/>
      <c r="G334" s="85"/>
      <c r="H334" s="86"/>
      <c r="I334" s="87" t="s">
        <v>1911</v>
      </c>
      <c r="J334" s="44"/>
    </row>
    <row r="335" spans="1:10" ht="26.4" x14ac:dyDescent="0.25">
      <c r="A335" s="51"/>
      <c r="B335" s="83"/>
      <c r="C335" s="83"/>
      <c r="D335" s="84" t="s">
        <v>31</v>
      </c>
      <c r="E335" s="85">
        <f>2</f>
        <v>2</v>
      </c>
      <c r="F335" s="85"/>
      <c r="G335" s="85"/>
      <c r="H335" s="85"/>
      <c r="I335" s="88">
        <v>2</v>
      </c>
      <c r="J335" s="44" t="s">
        <v>27</v>
      </c>
    </row>
    <row r="336" spans="1:10" x14ac:dyDescent="0.25">
      <c r="A336" s="45" t="s">
        <v>323</v>
      </c>
      <c r="B336" s="21" t="s">
        <v>1915</v>
      </c>
      <c r="C336" s="21" t="s">
        <v>56</v>
      </c>
      <c r="D336" s="22" t="s">
        <v>1916</v>
      </c>
      <c r="E336" s="21" t="s">
        <v>66</v>
      </c>
      <c r="F336" s="28">
        <v>18.84</v>
      </c>
      <c r="G336" s="68">
        <v>271.26</v>
      </c>
      <c r="H336" s="68">
        <v>300.8</v>
      </c>
      <c r="I336" s="23">
        <v>5667.07</v>
      </c>
      <c r="J336" s="46">
        <v>3.2377492321098659E-4</v>
      </c>
    </row>
    <row r="337" spans="1:10" x14ac:dyDescent="0.25">
      <c r="A337" s="43" t="s">
        <v>24</v>
      </c>
      <c r="B337" s="83"/>
      <c r="C337" s="83"/>
      <c r="D337" s="84" t="s">
        <v>3</v>
      </c>
      <c r="E337" s="85" t="s">
        <v>25</v>
      </c>
      <c r="F337" s="85"/>
      <c r="G337" s="85"/>
      <c r="H337" s="86"/>
      <c r="I337" s="87" t="s">
        <v>1911</v>
      </c>
      <c r="J337" s="44"/>
    </row>
    <row r="338" spans="1:10" ht="26.4" x14ac:dyDescent="0.25">
      <c r="A338" s="51"/>
      <c r="B338" s="83"/>
      <c r="C338" s="83"/>
      <c r="D338" s="84" t="s">
        <v>31</v>
      </c>
      <c r="E338" s="85">
        <f>18.84</f>
        <v>18.84</v>
      </c>
      <c r="F338" s="85"/>
      <c r="G338" s="85"/>
      <c r="H338" s="85"/>
      <c r="I338" s="88">
        <v>18.84</v>
      </c>
      <c r="J338" s="44" t="s">
        <v>27</v>
      </c>
    </row>
    <row r="339" spans="1:10" x14ac:dyDescent="0.25">
      <c r="A339" s="41" t="s">
        <v>324</v>
      </c>
      <c r="B339" s="13"/>
      <c r="C339" s="13"/>
      <c r="D339" s="14" t="s">
        <v>325</v>
      </c>
      <c r="E339" s="14"/>
      <c r="F339" s="26">
        <v>1</v>
      </c>
      <c r="G339" s="66"/>
      <c r="H339" s="66"/>
      <c r="I339" s="15">
        <v>1381658.91</v>
      </c>
      <c r="J339" s="42">
        <v>7.8937882801699194E-2</v>
      </c>
    </row>
    <row r="340" spans="1:10" x14ac:dyDescent="0.25">
      <c r="A340" s="41" t="s">
        <v>326</v>
      </c>
      <c r="B340" s="13"/>
      <c r="C340" s="13"/>
      <c r="D340" s="14" t="s">
        <v>327</v>
      </c>
      <c r="E340" s="14"/>
      <c r="F340" s="26">
        <v>1</v>
      </c>
      <c r="G340" s="66"/>
      <c r="H340" s="66"/>
      <c r="I340" s="15">
        <v>7183.7</v>
      </c>
      <c r="J340" s="42">
        <v>4.1042406673479672E-4</v>
      </c>
    </row>
    <row r="341" spans="1:10" ht="26.4" x14ac:dyDescent="0.25">
      <c r="A341" s="39" t="s">
        <v>328</v>
      </c>
      <c r="B341" s="16" t="s">
        <v>329</v>
      </c>
      <c r="C341" s="16" t="s">
        <v>21</v>
      </c>
      <c r="D341" s="17" t="s">
        <v>330</v>
      </c>
      <c r="E341" s="16" t="s">
        <v>66</v>
      </c>
      <c r="F341" s="27">
        <v>5.49</v>
      </c>
      <c r="G341" s="67">
        <v>80.22</v>
      </c>
      <c r="H341" s="67">
        <v>96.74</v>
      </c>
      <c r="I341" s="18">
        <v>531.1</v>
      </c>
      <c r="J341" s="40">
        <v>3.0343168818693783E-5</v>
      </c>
    </row>
    <row r="342" spans="1:10" x14ac:dyDescent="0.25">
      <c r="A342" s="43" t="s">
        <v>24</v>
      </c>
      <c r="B342" s="83"/>
      <c r="C342" s="83"/>
      <c r="D342" s="84" t="s">
        <v>3</v>
      </c>
      <c r="E342" s="85" t="s">
        <v>25</v>
      </c>
      <c r="F342" s="85"/>
      <c r="G342" s="85"/>
      <c r="H342" s="86"/>
      <c r="I342" s="87" t="s">
        <v>1911</v>
      </c>
      <c r="J342" s="44"/>
    </row>
    <row r="343" spans="1:10" x14ac:dyDescent="0.25">
      <c r="A343" s="51"/>
      <c r="B343" s="83"/>
      <c r="C343" s="83"/>
      <c r="D343" s="84" t="s">
        <v>331</v>
      </c>
      <c r="E343" s="85">
        <f>(1*1*1.5)*3</f>
        <v>4.5</v>
      </c>
      <c r="F343" s="85"/>
      <c r="G343" s="85"/>
      <c r="H343" s="85"/>
      <c r="I343" s="88">
        <v>4.5</v>
      </c>
      <c r="J343" s="44" t="s">
        <v>27</v>
      </c>
    </row>
    <row r="344" spans="1:10" x14ac:dyDescent="0.25">
      <c r="A344" s="51"/>
      <c r="B344" s="83"/>
      <c r="C344" s="83"/>
      <c r="D344" s="84" t="s">
        <v>332</v>
      </c>
      <c r="E344" s="85">
        <f>(3.3*0.3*0.5)*2</f>
        <v>0.98999999999999988</v>
      </c>
      <c r="F344" s="85"/>
      <c r="G344" s="85"/>
      <c r="H344" s="85"/>
      <c r="I344" s="88">
        <v>0.99</v>
      </c>
      <c r="J344" s="44" t="s">
        <v>27</v>
      </c>
    </row>
    <row r="345" spans="1:10" ht="26.4" x14ac:dyDescent="0.25">
      <c r="A345" s="39" t="s">
        <v>333</v>
      </c>
      <c r="B345" s="16" t="s">
        <v>232</v>
      </c>
      <c r="C345" s="16" t="s">
        <v>21</v>
      </c>
      <c r="D345" s="17" t="s">
        <v>233</v>
      </c>
      <c r="E345" s="16" t="s">
        <v>23</v>
      </c>
      <c r="F345" s="27">
        <v>5.98</v>
      </c>
      <c r="G345" s="67">
        <v>36.26</v>
      </c>
      <c r="H345" s="67">
        <v>43.72</v>
      </c>
      <c r="I345" s="18">
        <v>261.44</v>
      </c>
      <c r="J345" s="40">
        <v>1.4936769075427043E-5</v>
      </c>
    </row>
    <row r="346" spans="1:10" x14ac:dyDescent="0.25">
      <c r="A346" s="43" t="s">
        <v>24</v>
      </c>
      <c r="B346" s="83"/>
      <c r="C346" s="83"/>
      <c r="D346" s="84" t="s">
        <v>3</v>
      </c>
      <c r="E346" s="85" t="s">
        <v>25</v>
      </c>
      <c r="F346" s="85"/>
      <c r="G346" s="85"/>
      <c r="H346" s="86"/>
      <c r="I346" s="87" t="s">
        <v>1911</v>
      </c>
      <c r="J346" s="44"/>
    </row>
    <row r="347" spans="1:10" x14ac:dyDescent="0.25">
      <c r="A347" s="51"/>
      <c r="B347" s="83"/>
      <c r="C347" s="83"/>
      <c r="D347" s="84" t="s">
        <v>332</v>
      </c>
      <c r="E347" s="85">
        <f>(3.3*0.3)*2</f>
        <v>1.9799999999999998</v>
      </c>
      <c r="F347" s="85"/>
      <c r="G347" s="85"/>
      <c r="H347" s="85"/>
      <c r="I347" s="88">
        <v>1.98</v>
      </c>
      <c r="J347" s="44" t="s">
        <v>27</v>
      </c>
    </row>
    <row r="348" spans="1:10" x14ac:dyDescent="0.25">
      <c r="A348" s="51"/>
      <c r="B348" s="83"/>
      <c r="C348" s="83"/>
      <c r="D348" s="84" t="s">
        <v>331</v>
      </c>
      <c r="E348" s="85">
        <f>(1*1)*4</f>
        <v>4</v>
      </c>
      <c r="F348" s="85"/>
      <c r="G348" s="85"/>
      <c r="H348" s="85"/>
      <c r="I348" s="88">
        <v>4</v>
      </c>
      <c r="J348" s="44" t="s">
        <v>27</v>
      </c>
    </row>
    <row r="349" spans="1:10" ht="26.4" x14ac:dyDescent="0.25">
      <c r="A349" s="39" t="s">
        <v>334</v>
      </c>
      <c r="B349" s="16" t="s">
        <v>335</v>
      </c>
      <c r="C349" s="16" t="s">
        <v>21</v>
      </c>
      <c r="D349" s="17" t="s">
        <v>336</v>
      </c>
      <c r="E349" s="16" t="s">
        <v>23</v>
      </c>
      <c r="F349" s="27">
        <v>1.08</v>
      </c>
      <c r="G349" s="67">
        <v>130.9</v>
      </c>
      <c r="H349" s="67">
        <v>157.86000000000001</v>
      </c>
      <c r="I349" s="18">
        <v>170.48</v>
      </c>
      <c r="J349" s="40">
        <v>9.7399800794782824E-6</v>
      </c>
    </row>
    <row r="350" spans="1:10" x14ac:dyDescent="0.25">
      <c r="A350" s="43" t="s">
        <v>24</v>
      </c>
      <c r="B350" s="83"/>
      <c r="C350" s="83"/>
      <c r="D350" s="84" t="s">
        <v>3</v>
      </c>
      <c r="E350" s="85" t="s">
        <v>25</v>
      </c>
      <c r="F350" s="85"/>
      <c r="G350" s="85"/>
      <c r="H350" s="86"/>
      <c r="I350" s="87" t="s">
        <v>1911</v>
      </c>
      <c r="J350" s="44"/>
    </row>
    <row r="351" spans="1:10" x14ac:dyDescent="0.25">
      <c r="A351" s="51"/>
      <c r="B351" s="83"/>
      <c r="C351" s="83"/>
      <c r="D351" s="84" t="s">
        <v>331</v>
      </c>
      <c r="E351" s="85">
        <f>(0.9*4)*0.3</f>
        <v>1.08</v>
      </c>
      <c r="F351" s="85"/>
      <c r="G351" s="85"/>
      <c r="H351" s="85"/>
      <c r="I351" s="88">
        <v>1.08</v>
      </c>
      <c r="J351" s="44" t="s">
        <v>27</v>
      </c>
    </row>
    <row r="352" spans="1:10" ht="26.4" x14ac:dyDescent="0.25">
      <c r="A352" s="39" t="s">
        <v>337</v>
      </c>
      <c r="B352" s="16" t="s">
        <v>175</v>
      </c>
      <c r="C352" s="16" t="s">
        <v>21</v>
      </c>
      <c r="D352" s="17" t="s">
        <v>176</v>
      </c>
      <c r="E352" s="16" t="s">
        <v>23</v>
      </c>
      <c r="F352" s="27">
        <v>12.96</v>
      </c>
      <c r="G352" s="67">
        <v>158.59</v>
      </c>
      <c r="H352" s="67">
        <v>191.25</v>
      </c>
      <c r="I352" s="18">
        <v>2478.6</v>
      </c>
      <c r="J352" s="40">
        <v>1.4160907217852458E-4</v>
      </c>
    </row>
    <row r="353" spans="1:10" x14ac:dyDescent="0.25">
      <c r="A353" s="43" t="s">
        <v>24</v>
      </c>
      <c r="B353" s="83"/>
      <c r="C353" s="83"/>
      <c r="D353" s="84" t="s">
        <v>3</v>
      </c>
      <c r="E353" s="85" t="s">
        <v>25</v>
      </c>
      <c r="F353" s="85"/>
      <c r="G353" s="85"/>
      <c r="H353" s="86"/>
      <c r="I353" s="87" t="s">
        <v>1911</v>
      </c>
      <c r="J353" s="44"/>
    </row>
    <row r="354" spans="1:10" x14ac:dyDescent="0.25">
      <c r="A354" s="51"/>
      <c r="B354" s="83"/>
      <c r="C354" s="83"/>
      <c r="D354" s="84" t="s">
        <v>246</v>
      </c>
      <c r="E354" s="85">
        <f>(((2*0.4)+(2*0.4))*1.2)*4</f>
        <v>7.68</v>
      </c>
      <c r="F354" s="85"/>
      <c r="G354" s="85"/>
      <c r="H354" s="85"/>
      <c r="I354" s="88">
        <v>7.68</v>
      </c>
      <c r="J354" s="44" t="s">
        <v>27</v>
      </c>
    </row>
    <row r="355" spans="1:10" x14ac:dyDescent="0.25">
      <c r="A355" s="51"/>
      <c r="B355" s="83"/>
      <c r="C355" s="83"/>
      <c r="D355" s="84" t="s">
        <v>332</v>
      </c>
      <c r="E355" s="85">
        <f>((0.4*2)*3.3)*2</f>
        <v>5.28</v>
      </c>
      <c r="F355" s="85"/>
      <c r="G355" s="85"/>
      <c r="H355" s="85"/>
      <c r="I355" s="88">
        <v>5.28</v>
      </c>
      <c r="J355" s="44" t="s">
        <v>27</v>
      </c>
    </row>
    <row r="356" spans="1:10" x14ac:dyDescent="0.25">
      <c r="A356" s="39" t="s">
        <v>338</v>
      </c>
      <c r="B356" s="16" t="s">
        <v>160</v>
      </c>
      <c r="C356" s="16" t="s">
        <v>21</v>
      </c>
      <c r="D356" s="17" t="s">
        <v>161</v>
      </c>
      <c r="E356" s="16" t="s">
        <v>89</v>
      </c>
      <c r="F356" s="27">
        <v>29</v>
      </c>
      <c r="G356" s="67">
        <v>9.4600000000000009</v>
      </c>
      <c r="H356" s="67">
        <v>11.4</v>
      </c>
      <c r="I356" s="18">
        <v>330.6</v>
      </c>
      <c r="J356" s="40">
        <v>1.8888065545961524E-5</v>
      </c>
    </row>
    <row r="357" spans="1:10" x14ac:dyDescent="0.25">
      <c r="A357" s="43" t="s">
        <v>24</v>
      </c>
      <c r="B357" s="83"/>
      <c r="C357" s="83"/>
      <c r="D357" s="84" t="s">
        <v>3</v>
      </c>
      <c r="E357" s="85" t="s">
        <v>25</v>
      </c>
      <c r="F357" s="85"/>
      <c r="G357" s="85"/>
      <c r="H357" s="86"/>
      <c r="I357" s="87" t="s">
        <v>1911</v>
      </c>
      <c r="J357" s="44"/>
    </row>
    <row r="358" spans="1:10" x14ac:dyDescent="0.25">
      <c r="A358" s="51"/>
      <c r="B358" s="83"/>
      <c r="C358" s="83"/>
      <c r="D358" s="84" t="s">
        <v>90</v>
      </c>
      <c r="E358" s="85">
        <f>29</f>
        <v>29</v>
      </c>
      <c r="F358" s="85"/>
      <c r="G358" s="85"/>
      <c r="H358" s="85"/>
      <c r="I358" s="88">
        <v>29</v>
      </c>
      <c r="J358" s="44" t="s">
        <v>27</v>
      </c>
    </row>
    <row r="359" spans="1:10" x14ac:dyDescent="0.25">
      <c r="A359" s="39" t="s">
        <v>339</v>
      </c>
      <c r="B359" s="16" t="s">
        <v>169</v>
      </c>
      <c r="C359" s="16" t="s">
        <v>21</v>
      </c>
      <c r="D359" s="17" t="s">
        <v>170</v>
      </c>
      <c r="E359" s="16" t="s">
        <v>89</v>
      </c>
      <c r="F359" s="27">
        <v>75</v>
      </c>
      <c r="G359" s="67">
        <v>8.7799999999999994</v>
      </c>
      <c r="H359" s="67">
        <v>10.58</v>
      </c>
      <c r="I359" s="18">
        <v>793.5</v>
      </c>
      <c r="J359" s="40">
        <v>4.5334785271386779E-5</v>
      </c>
    </row>
    <row r="360" spans="1:10" x14ac:dyDescent="0.25">
      <c r="A360" s="43" t="s">
        <v>24</v>
      </c>
      <c r="B360" s="83"/>
      <c r="C360" s="83"/>
      <c r="D360" s="84" t="s">
        <v>3</v>
      </c>
      <c r="E360" s="85" t="s">
        <v>25</v>
      </c>
      <c r="F360" s="85"/>
      <c r="G360" s="85"/>
      <c r="H360" s="86"/>
      <c r="I360" s="87" t="s">
        <v>1911</v>
      </c>
      <c r="J360" s="44"/>
    </row>
    <row r="361" spans="1:10" x14ac:dyDescent="0.25">
      <c r="A361" s="51"/>
      <c r="B361" s="83"/>
      <c r="C361" s="83"/>
      <c r="D361" s="84" t="s">
        <v>90</v>
      </c>
      <c r="E361" s="85">
        <f>75</f>
        <v>75</v>
      </c>
      <c r="F361" s="85"/>
      <c r="G361" s="85"/>
      <c r="H361" s="85"/>
      <c r="I361" s="88">
        <v>75</v>
      </c>
      <c r="J361" s="44" t="s">
        <v>27</v>
      </c>
    </row>
    <row r="362" spans="1:10" x14ac:dyDescent="0.25">
      <c r="A362" s="39" t="s">
        <v>340</v>
      </c>
      <c r="B362" s="16" t="s">
        <v>292</v>
      </c>
      <c r="C362" s="16" t="s">
        <v>21</v>
      </c>
      <c r="D362" s="17" t="s">
        <v>293</v>
      </c>
      <c r="E362" s="16" t="s">
        <v>89</v>
      </c>
      <c r="F362" s="27">
        <v>53</v>
      </c>
      <c r="G362" s="67">
        <v>7.53</v>
      </c>
      <c r="H362" s="67">
        <v>9.08</v>
      </c>
      <c r="I362" s="18">
        <v>481.24</v>
      </c>
      <c r="J362" s="40">
        <v>2.7494533161943507E-5</v>
      </c>
    </row>
    <row r="363" spans="1:10" x14ac:dyDescent="0.25">
      <c r="A363" s="43" t="s">
        <v>24</v>
      </c>
      <c r="B363" s="83"/>
      <c r="C363" s="83"/>
      <c r="D363" s="84" t="s">
        <v>3</v>
      </c>
      <c r="E363" s="85" t="s">
        <v>25</v>
      </c>
      <c r="F363" s="85"/>
      <c r="G363" s="85"/>
      <c r="H363" s="86"/>
      <c r="I363" s="87" t="s">
        <v>1911</v>
      </c>
      <c r="J363" s="44"/>
    </row>
    <row r="364" spans="1:10" x14ac:dyDescent="0.25">
      <c r="A364" s="51"/>
      <c r="B364" s="83"/>
      <c r="C364" s="83"/>
      <c r="D364" s="84" t="s">
        <v>90</v>
      </c>
      <c r="E364" s="85">
        <f>53</f>
        <v>53</v>
      </c>
      <c r="F364" s="85"/>
      <c r="G364" s="85"/>
      <c r="H364" s="85"/>
      <c r="I364" s="88">
        <v>53</v>
      </c>
      <c r="J364" s="44" t="s">
        <v>27</v>
      </c>
    </row>
    <row r="365" spans="1:10" ht="39.6" x14ac:dyDescent="0.25">
      <c r="A365" s="39" t="s">
        <v>341</v>
      </c>
      <c r="B365" s="16" t="s">
        <v>101</v>
      </c>
      <c r="C365" s="16" t="s">
        <v>21</v>
      </c>
      <c r="D365" s="17" t="s">
        <v>102</v>
      </c>
      <c r="E365" s="16" t="s">
        <v>66</v>
      </c>
      <c r="F365" s="27">
        <v>2.2799999999999998</v>
      </c>
      <c r="G365" s="67">
        <v>501.07</v>
      </c>
      <c r="H365" s="67">
        <v>604.29</v>
      </c>
      <c r="I365" s="18">
        <v>1377.78</v>
      </c>
      <c r="J365" s="40">
        <v>7.8716270259875578E-5</v>
      </c>
    </row>
    <row r="366" spans="1:10" x14ac:dyDescent="0.25">
      <c r="A366" s="43" t="s">
        <v>24</v>
      </c>
      <c r="B366" s="83"/>
      <c r="C366" s="83"/>
      <c r="D366" s="84" t="s">
        <v>3</v>
      </c>
      <c r="E366" s="85" t="s">
        <v>25</v>
      </c>
      <c r="F366" s="85"/>
      <c r="G366" s="85"/>
      <c r="H366" s="86"/>
      <c r="I366" s="87" t="s">
        <v>1911</v>
      </c>
      <c r="J366" s="44"/>
    </row>
    <row r="367" spans="1:10" ht="26.4" x14ac:dyDescent="0.25">
      <c r="A367" s="51"/>
      <c r="B367" s="83"/>
      <c r="C367" s="83"/>
      <c r="D367" s="84" t="s">
        <v>342</v>
      </c>
      <c r="E367" s="85">
        <f>0.59</f>
        <v>0.59</v>
      </c>
      <c r="F367" s="85"/>
      <c r="G367" s="85"/>
      <c r="H367" s="85"/>
      <c r="I367" s="88">
        <v>0.59</v>
      </c>
      <c r="J367" s="44" t="s">
        <v>27</v>
      </c>
    </row>
    <row r="368" spans="1:10" x14ac:dyDescent="0.25">
      <c r="A368" s="51"/>
      <c r="B368" s="83"/>
      <c r="C368" s="83"/>
      <c r="D368" s="84" t="s">
        <v>343</v>
      </c>
      <c r="E368" s="85">
        <f>0.72</f>
        <v>0.72</v>
      </c>
      <c r="F368" s="85"/>
      <c r="G368" s="85"/>
      <c r="H368" s="85"/>
      <c r="I368" s="88">
        <v>0.72</v>
      </c>
      <c r="J368" s="44" t="s">
        <v>27</v>
      </c>
    </row>
    <row r="369" spans="1:10" ht="26.4" x14ac:dyDescent="0.25">
      <c r="A369" s="51"/>
      <c r="B369" s="83"/>
      <c r="C369" s="83"/>
      <c r="D369" s="84" t="s">
        <v>344</v>
      </c>
      <c r="E369" s="85">
        <f>0.97</f>
        <v>0.97</v>
      </c>
      <c r="F369" s="85"/>
      <c r="G369" s="85"/>
      <c r="H369" s="85"/>
      <c r="I369" s="88">
        <v>0.97</v>
      </c>
      <c r="J369" s="44" t="s">
        <v>27</v>
      </c>
    </row>
    <row r="370" spans="1:10" ht="26.4" x14ac:dyDescent="0.25">
      <c r="A370" s="39" t="s">
        <v>345</v>
      </c>
      <c r="B370" s="16" t="s">
        <v>257</v>
      </c>
      <c r="C370" s="16" t="s">
        <v>21</v>
      </c>
      <c r="D370" s="17" t="s">
        <v>258</v>
      </c>
      <c r="E370" s="16" t="s">
        <v>66</v>
      </c>
      <c r="F370" s="27">
        <v>2.2799999999999998</v>
      </c>
      <c r="G370" s="67">
        <v>276.02</v>
      </c>
      <c r="H370" s="67">
        <v>332.88</v>
      </c>
      <c r="I370" s="18">
        <v>758.96</v>
      </c>
      <c r="J370" s="40">
        <v>4.3361422343505621E-5</v>
      </c>
    </row>
    <row r="371" spans="1:10" x14ac:dyDescent="0.25">
      <c r="A371" s="43" t="s">
        <v>24</v>
      </c>
      <c r="B371" s="83"/>
      <c r="C371" s="83"/>
      <c r="D371" s="84" t="s">
        <v>3</v>
      </c>
      <c r="E371" s="85" t="s">
        <v>25</v>
      </c>
      <c r="F371" s="85"/>
      <c r="G371" s="85"/>
      <c r="H371" s="86"/>
      <c r="I371" s="87" t="s">
        <v>1911</v>
      </c>
      <c r="J371" s="44"/>
    </row>
    <row r="372" spans="1:10" x14ac:dyDescent="0.25">
      <c r="A372" s="51"/>
      <c r="B372" s="83"/>
      <c r="C372" s="83"/>
      <c r="D372" s="84" t="s">
        <v>259</v>
      </c>
      <c r="E372" s="85">
        <f>2.28</f>
        <v>2.2799999999999998</v>
      </c>
      <c r="F372" s="85"/>
      <c r="G372" s="85"/>
      <c r="H372" s="85"/>
      <c r="I372" s="88">
        <v>2.2799999999999998</v>
      </c>
      <c r="J372" s="44" t="s">
        <v>27</v>
      </c>
    </row>
    <row r="373" spans="1:10" x14ac:dyDescent="0.25">
      <c r="A373" s="41" t="s">
        <v>346</v>
      </c>
      <c r="B373" s="13"/>
      <c r="C373" s="13"/>
      <c r="D373" s="14" t="s">
        <v>347</v>
      </c>
      <c r="E373" s="14"/>
      <c r="F373" s="26">
        <v>1</v>
      </c>
      <c r="G373" s="66"/>
      <c r="H373" s="66"/>
      <c r="I373" s="15">
        <v>373606.41</v>
      </c>
      <c r="J373" s="42">
        <v>2.1345137206507485E-2</v>
      </c>
    </row>
    <row r="374" spans="1:10" ht="26.4" x14ac:dyDescent="0.25">
      <c r="A374" s="39" t="s">
        <v>348</v>
      </c>
      <c r="B374" s="16" t="s">
        <v>226</v>
      </c>
      <c r="C374" s="16" t="s">
        <v>56</v>
      </c>
      <c r="D374" s="17" t="s">
        <v>227</v>
      </c>
      <c r="E374" s="16" t="s">
        <v>66</v>
      </c>
      <c r="F374" s="27">
        <v>540.82000000000005</v>
      </c>
      <c r="G374" s="67">
        <v>7.2</v>
      </c>
      <c r="H374" s="67">
        <v>8.68</v>
      </c>
      <c r="I374" s="18">
        <v>4694.3100000000004</v>
      </c>
      <c r="J374" s="40">
        <v>2.6819853288887667E-4</v>
      </c>
    </row>
    <row r="375" spans="1:10" x14ac:dyDescent="0.25">
      <c r="A375" s="43" t="s">
        <v>24</v>
      </c>
      <c r="B375" s="83"/>
      <c r="C375" s="83"/>
      <c r="D375" s="84" t="s">
        <v>3</v>
      </c>
      <c r="E375" s="85" t="s">
        <v>25</v>
      </c>
      <c r="F375" s="85"/>
      <c r="G375" s="85"/>
      <c r="H375" s="86"/>
      <c r="I375" s="87" t="s">
        <v>1911</v>
      </c>
      <c r="J375" s="44"/>
    </row>
    <row r="376" spans="1:10" ht="26.4" x14ac:dyDescent="0.25">
      <c r="A376" s="51"/>
      <c r="B376" s="83"/>
      <c r="C376" s="83"/>
      <c r="D376" s="84" t="s">
        <v>349</v>
      </c>
      <c r="E376" s="85">
        <f>540.82</f>
        <v>540.82000000000005</v>
      </c>
      <c r="F376" s="85"/>
      <c r="G376" s="85"/>
      <c r="H376" s="85"/>
      <c r="I376" s="88">
        <v>540.82000000000005</v>
      </c>
      <c r="J376" s="44" t="s">
        <v>27</v>
      </c>
    </row>
    <row r="377" spans="1:10" ht="26.4" x14ac:dyDescent="0.25">
      <c r="A377" s="39" t="s">
        <v>350</v>
      </c>
      <c r="B377" s="16" t="s">
        <v>232</v>
      </c>
      <c r="C377" s="16" t="s">
        <v>21</v>
      </c>
      <c r="D377" s="17" t="s">
        <v>233</v>
      </c>
      <c r="E377" s="16" t="s">
        <v>23</v>
      </c>
      <c r="F377" s="27">
        <v>539.17999999999995</v>
      </c>
      <c r="G377" s="67">
        <v>36.26</v>
      </c>
      <c r="H377" s="67">
        <v>43.72</v>
      </c>
      <c r="I377" s="18">
        <v>23572.94</v>
      </c>
      <c r="J377" s="40">
        <v>1.3467853473412528E-3</v>
      </c>
    </row>
    <row r="378" spans="1:10" x14ac:dyDescent="0.25">
      <c r="A378" s="43" t="s">
        <v>24</v>
      </c>
      <c r="B378" s="83"/>
      <c r="C378" s="83"/>
      <c r="D378" s="84" t="s">
        <v>3</v>
      </c>
      <c r="E378" s="85" t="s">
        <v>25</v>
      </c>
      <c r="F378" s="85"/>
      <c r="G378" s="85"/>
      <c r="H378" s="86"/>
      <c r="I378" s="87" t="s">
        <v>1911</v>
      </c>
      <c r="J378" s="44"/>
    </row>
    <row r="379" spans="1:10" ht="26.4" x14ac:dyDescent="0.25">
      <c r="A379" s="51"/>
      <c r="B379" s="83"/>
      <c r="C379" s="83"/>
      <c r="D379" s="84" t="s">
        <v>349</v>
      </c>
      <c r="E379" s="85">
        <f>539.18</f>
        <v>539.17999999999995</v>
      </c>
      <c r="F379" s="85"/>
      <c r="G379" s="85"/>
      <c r="H379" s="85"/>
      <c r="I379" s="88">
        <v>539.17999999999995</v>
      </c>
      <c r="J379" s="44" t="s">
        <v>27</v>
      </c>
    </row>
    <row r="380" spans="1:10" ht="26.4" x14ac:dyDescent="0.25">
      <c r="A380" s="39" t="s">
        <v>351</v>
      </c>
      <c r="B380" s="16" t="s">
        <v>335</v>
      </c>
      <c r="C380" s="16" t="s">
        <v>21</v>
      </c>
      <c r="D380" s="17" t="s">
        <v>336</v>
      </c>
      <c r="E380" s="16" t="s">
        <v>23</v>
      </c>
      <c r="F380" s="27">
        <v>235.56</v>
      </c>
      <c r="G380" s="67">
        <v>130.9</v>
      </c>
      <c r="H380" s="67">
        <v>157.86000000000001</v>
      </c>
      <c r="I380" s="18">
        <v>37185.5</v>
      </c>
      <c r="J380" s="40">
        <v>2.124507445128107E-3</v>
      </c>
    </row>
    <row r="381" spans="1:10" x14ac:dyDescent="0.25">
      <c r="A381" s="43" t="s">
        <v>24</v>
      </c>
      <c r="B381" s="83"/>
      <c r="C381" s="83"/>
      <c r="D381" s="84" t="s">
        <v>3</v>
      </c>
      <c r="E381" s="85" t="s">
        <v>25</v>
      </c>
      <c r="F381" s="85"/>
      <c r="G381" s="85"/>
      <c r="H381" s="86"/>
      <c r="I381" s="87" t="s">
        <v>1911</v>
      </c>
      <c r="J381" s="44"/>
    </row>
    <row r="382" spans="1:10" x14ac:dyDescent="0.25">
      <c r="A382" s="51"/>
      <c r="B382" s="83"/>
      <c r="C382" s="83"/>
      <c r="D382" s="84" t="s">
        <v>352</v>
      </c>
      <c r="E382" s="85">
        <f>191.42+44.14</f>
        <v>235.56</v>
      </c>
      <c r="F382" s="85"/>
      <c r="G382" s="85"/>
      <c r="H382" s="85"/>
      <c r="I382" s="88">
        <v>235.56</v>
      </c>
      <c r="J382" s="44" t="s">
        <v>27</v>
      </c>
    </row>
    <row r="383" spans="1:10" ht="26.4" x14ac:dyDescent="0.25">
      <c r="A383" s="39" t="s">
        <v>353</v>
      </c>
      <c r="B383" s="16" t="s">
        <v>175</v>
      </c>
      <c r="C383" s="16" t="s">
        <v>21</v>
      </c>
      <c r="D383" s="17" t="s">
        <v>176</v>
      </c>
      <c r="E383" s="16" t="s">
        <v>23</v>
      </c>
      <c r="F383" s="27">
        <v>213.1</v>
      </c>
      <c r="G383" s="67">
        <v>158.59</v>
      </c>
      <c r="H383" s="67">
        <v>191.25</v>
      </c>
      <c r="I383" s="18">
        <v>40755.370000000003</v>
      </c>
      <c r="J383" s="40">
        <v>2.3284637020868537E-3</v>
      </c>
    </row>
    <row r="384" spans="1:10" x14ac:dyDescent="0.25">
      <c r="A384" s="43" t="s">
        <v>24</v>
      </c>
      <c r="B384" s="83"/>
      <c r="C384" s="83"/>
      <c r="D384" s="84" t="s">
        <v>3</v>
      </c>
      <c r="E384" s="85" t="s">
        <v>25</v>
      </c>
      <c r="F384" s="85"/>
      <c r="G384" s="85"/>
      <c r="H384" s="86"/>
      <c r="I384" s="87" t="s">
        <v>1911</v>
      </c>
      <c r="J384" s="44"/>
    </row>
    <row r="385" spans="1:10" x14ac:dyDescent="0.25">
      <c r="A385" s="51"/>
      <c r="B385" s="83"/>
      <c r="C385" s="83"/>
      <c r="D385" s="84" t="s">
        <v>354</v>
      </c>
      <c r="E385" s="85">
        <f>213.1</f>
        <v>213.1</v>
      </c>
      <c r="F385" s="85"/>
      <c r="G385" s="85"/>
      <c r="H385" s="85"/>
      <c r="I385" s="88">
        <v>213.1</v>
      </c>
      <c r="J385" s="44" t="s">
        <v>27</v>
      </c>
    </row>
    <row r="386" spans="1:10" ht="39.6" x14ac:dyDescent="0.25">
      <c r="A386" s="39" t="s">
        <v>355</v>
      </c>
      <c r="B386" s="16" t="s">
        <v>248</v>
      </c>
      <c r="C386" s="16" t="s">
        <v>21</v>
      </c>
      <c r="D386" s="17" t="s">
        <v>249</v>
      </c>
      <c r="E386" s="16" t="s">
        <v>23</v>
      </c>
      <c r="F386" s="27">
        <v>419.15</v>
      </c>
      <c r="G386" s="67">
        <v>69.349999999999994</v>
      </c>
      <c r="H386" s="67">
        <v>83.63</v>
      </c>
      <c r="I386" s="18">
        <v>35053.51</v>
      </c>
      <c r="J386" s="40">
        <v>2.0027011327768229E-3</v>
      </c>
    </row>
    <row r="387" spans="1:10" x14ac:dyDescent="0.25">
      <c r="A387" s="43" t="s">
        <v>24</v>
      </c>
      <c r="B387" s="83"/>
      <c r="C387" s="83"/>
      <c r="D387" s="84" t="s">
        <v>3</v>
      </c>
      <c r="E387" s="85" t="s">
        <v>25</v>
      </c>
      <c r="F387" s="85"/>
      <c r="G387" s="85"/>
      <c r="H387" s="86"/>
      <c r="I387" s="87" t="s">
        <v>1911</v>
      </c>
      <c r="J387" s="44"/>
    </row>
    <row r="388" spans="1:10" x14ac:dyDescent="0.25">
      <c r="A388" s="51"/>
      <c r="B388" s="83"/>
      <c r="C388" s="83"/>
      <c r="D388" s="84" t="s">
        <v>356</v>
      </c>
      <c r="E388" s="85">
        <f>419.15</f>
        <v>419.15</v>
      </c>
      <c r="F388" s="85"/>
      <c r="G388" s="85"/>
      <c r="H388" s="85"/>
      <c r="I388" s="88">
        <v>419.15</v>
      </c>
      <c r="J388" s="44" t="s">
        <v>27</v>
      </c>
    </row>
    <row r="389" spans="1:10" x14ac:dyDescent="0.25">
      <c r="A389" s="39" t="s">
        <v>357</v>
      </c>
      <c r="B389" s="16" t="s">
        <v>160</v>
      </c>
      <c r="C389" s="16" t="s">
        <v>21</v>
      </c>
      <c r="D389" s="17" t="s">
        <v>161</v>
      </c>
      <c r="E389" s="16" t="s">
        <v>89</v>
      </c>
      <c r="F389" s="27">
        <v>1423</v>
      </c>
      <c r="G389" s="67">
        <v>9.4600000000000009</v>
      </c>
      <c r="H389" s="67">
        <v>11.4</v>
      </c>
      <c r="I389" s="18">
        <v>16222.2</v>
      </c>
      <c r="J389" s="40">
        <v>9.268178369621809E-4</v>
      </c>
    </row>
    <row r="390" spans="1:10" x14ac:dyDescent="0.25">
      <c r="A390" s="43" t="s">
        <v>24</v>
      </c>
      <c r="B390" s="83"/>
      <c r="C390" s="83"/>
      <c r="D390" s="84" t="s">
        <v>3</v>
      </c>
      <c r="E390" s="85" t="s">
        <v>25</v>
      </c>
      <c r="F390" s="85"/>
      <c r="G390" s="85"/>
      <c r="H390" s="86"/>
      <c r="I390" s="87" t="s">
        <v>1911</v>
      </c>
      <c r="J390" s="44"/>
    </row>
    <row r="391" spans="1:10" x14ac:dyDescent="0.25">
      <c r="A391" s="51"/>
      <c r="B391" s="83"/>
      <c r="C391" s="83"/>
      <c r="D391" s="84" t="s">
        <v>90</v>
      </c>
      <c r="E391" s="85">
        <f>1423</f>
        <v>1423</v>
      </c>
      <c r="F391" s="85"/>
      <c r="G391" s="85"/>
      <c r="H391" s="85"/>
      <c r="I391" s="88">
        <v>1423</v>
      </c>
      <c r="J391" s="44" t="s">
        <v>27</v>
      </c>
    </row>
    <row r="392" spans="1:10" x14ac:dyDescent="0.25">
      <c r="A392" s="39" t="s">
        <v>358</v>
      </c>
      <c r="B392" s="16" t="s">
        <v>166</v>
      </c>
      <c r="C392" s="16" t="s">
        <v>21</v>
      </c>
      <c r="D392" s="17" t="s">
        <v>167</v>
      </c>
      <c r="E392" s="16" t="s">
        <v>89</v>
      </c>
      <c r="F392" s="27">
        <v>1507</v>
      </c>
      <c r="G392" s="67">
        <v>9.51</v>
      </c>
      <c r="H392" s="67">
        <v>11.46</v>
      </c>
      <c r="I392" s="18">
        <v>17270.22</v>
      </c>
      <c r="J392" s="40">
        <v>9.8669403313120263E-4</v>
      </c>
    </row>
    <row r="393" spans="1:10" x14ac:dyDescent="0.25">
      <c r="A393" s="43" t="s">
        <v>24</v>
      </c>
      <c r="B393" s="83"/>
      <c r="C393" s="83"/>
      <c r="D393" s="84" t="s">
        <v>3</v>
      </c>
      <c r="E393" s="85" t="s">
        <v>25</v>
      </c>
      <c r="F393" s="85"/>
      <c r="G393" s="85"/>
      <c r="H393" s="86"/>
      <c r="I393" s="87" t="s">
        <v>1911</v>
      </c>
      <c r="J393" s="44"/>
    </row>
    <row r="394" spans="1:10" x14ac:dyDescent="0.25">
      <c r="A394" s="51"/>
      <c r="B394" s="83"/>
      <c r="C394" s="83"/>
      <c r="D394" s="84" t="s">
        <v>90</v>
      </c>
      <c r="E394" s="85">
        <f>1507</f>
        <v>1507</v>
      </c>
      <c r="F394" s="85"/>
      <c r="G394" s="85"/>
      <c r="H394" s="85"/>
      <c r="I394" s="88">
        <v>1507</v>
      </c>
      <c r="J394" s="44" t="s">
        <v>27</v>
      </c>
    </row>
    <row r="395" spans="1:10" x14ac:dyDescent="0.25">
      <c r="A395" s="39" t="s">
        <v>359</v>
      </c>
      <c r="B395" s="16" t="s">
        <v>169</v>
      </c>
      <c r="C395" s="16" t="s">
        <v>21</v>
      </c>
      <c r="D395" s="17" t="s">
        <v>170</v>
      </c>
      <c r="E395" s="16" t="s">
        <v>89</v>
      </c>
      <c r="F395" s="27">
        <v>1540</v>
      </c>
      <c r="G395" s="67">
        <v>8.7799999999999994</v>
      </c>
      <c r="H395" s="67">
        <v>10.58</v>
      </c>
      <c r="I395" s="18">
        <v>16293.2</v>
      </c>
      <c r="J395" s="40">
        <v>9.3087425757247511E-4</v>
      </c>
    </row>
    <row r="396" spans="1:10" x14ac:dyDescent="0.25">
      <c r="A396" s="43" t="s">
        <v>24</v>
      </c>
      <c r="B396" s="83"/>
      <c r="C396" s="83"/>
      <c r="D396" s="84" t="s">
        <v>3</v>
      </c>
      <c r="E396" s="85" t="s">
        <v>25</v>
      </c>
      <c r="F396" s="85"/>
      <c r="G396" s="85"/>
      <c r="H396" s="86"/>
      <c r="I396" s="87" t="s">
        <v>1911</v>
      </c>
      <c r="J396" s="44"/>
    </row>
    <row r="397" spans="1:10" x14ac:dyDescent="0.25">
      <c r="A397" s="51"/>
      <c r="B397" s="83"/>
      <c r="C397" s="83"/>
      <c r="D397" s="84" t="s">
        <v>90</v>
      </c>
      <c r="E397" s="85">
        <f>1540</f>
        <v>1540</v>
      </c>
      <c r="F397" s="85"/>
      <c r="G397" s="85"/>
      <c r="H397" s="85"/>
      <c r="I397" s="88">
        <v>1540</v>
      </c>
      <c r="J397" s="44" t="s">
        <v>27</v>
      </c>
    </row>
    <row r="398" spans="1:10" x14ac:dyDescent="0.25">
      <c r="A398" s="39" t="s">
        <v>360</v>
      </c>
      <c r="B398" s="16" t="s">
        <v>292</v>
      </c>
      <c r="C398" s="16" t="s">
        <v>21</v>
      </c>
      <c r="D398" s="17" t="s">
        <v>293</v>
      </c>
      <c r="E398" s="16" t="s">
        <v>89</v>
      </c>
      <c r="F398" s="27">
        <v>3136</v>
      </c>
      <c r="G398" s="67">
        <v>7.53</v>
      </c>
      <c r="H398" s="67">
        <v>9.08</v>
      </c>
      <c r="I398" s="18">
        <v>28474.880000000001</v>
      </c>
      <c r="J398" s="40">
        <v>1.6268463395444309E-3</v>
      </c>
    </row>
    <row r="399" spans="1:10" x14ac:dyDescent="0.25">
      <c r="A399" s="43" t="s">
        <v>24</v>
      </c>
      <c r="B399" s="83"/>
      <c r="C399" s="83"/>
      <c r="D399" s="84" t="s">
        <v>3</v>
      </c>
      <c r="E399" s="85" t="s">
        <v>25</v>
      </c>
      <c r="F399" s="85"/>
      <c r="G399" s="85"/>
      <c r="H399" s="86"/>
      <c r="I399" s="87" t="s">
        <v>1911</v>
      </c>
      <c r="J399" s="44"/>
    </row>
    <row r="400" spans="1:10" x14ac:dyDescent="0.25">
      <c r="A400" s="51"/>
      <c r="B400" s="83"/>
      <c r="C400" s="83"/>
      <c r="D400" s="84" t="s">
        <v>90</v>
      </c>
      <c r="E400" s="85">
        <f>3136</f>
        <v>3136</v>
      </c>
      <c r="F400" s="85"/>
      <c r="G400" s="85"/>
      <c r="H400" s="85"/>
      <c r="I400" s="88">
        <v>3136</v>
      </c>
      <c r="J400" s="44" t="s">
        <v>27</v>
      </c>
    </row>
    <row r="401" spans="1:10" x14ac:dyDescent="0.25">
      <c r="A401" s="39" t="s">
        <v>361</v>
      </c>
      <c r="B401" s="16" t="s">
        <v>296</v>
      </c>
      <c r="C401" s="16" t="s">
        <v>21</v>
      </c>
      <c r="D401" s="17" t="s">
        <v>297</v>
      </c>
      <c r="E401" s="16" t="s">
        <v>89</v>
      </c>
      <c r="F401" s="27">
        <v>102</v>
      </c>
      <c r="G401" s="67">
        <v>7.46</v>
      </c>
      <c r="H401" s="67">
        <v>8.99</v>
      </c>
      <c r="I401" s="18">
        <v>916.98</v>
      </c>
      <c r="J401" s="40">
        <v>5.2389529172219589E-5</v>
      </c>
    </row>
    <row r="402" spans="1:10" x14ac:dyDescent="0.25">
      <c r="A402" s="43" t="s">
        <v>24</v>
      </c>
      <c r="B402" s="83"/>
      <c r="C402" s="83"/>
      <c r="D402" s="84" t="s">
        <v>3</v>
      </c>
      <c r="E402" s="85" t="s">
        <v>25</v>
      </c>
      <c r="F402" s="85"/>
      <c r="G402" s="85"/>
      <c r="H402" s="86"/>
      <c r="I402" s="87" t="s">
        <v>1911</v>
      </c>
      <c r="J402" s="44"/>
    </row>
    <row r="403" spans="1:10" x14ac:dyDescent="0.25">
      <c r="A403" s="51"/>
      <c r="B403" s="83"/>
      <c r="C403" s="83"/>
      <c r="D403" s="84" t="s">
        <v>90</v>
      </c>
      <c r="E403" s="85">
        <f>102</f>
        <v>102</v>
      </c>
      <c r="F403" s="85"/>
      <c r="G403" s="85"/>
      <c r="H403" s="85"/>
      <c r="I403" s="88">
        <v>102</v>
      </c>
      <c r="J403" s="44" t="s">
        <v>27</v>
      </c>
    </row>
    <row r="404" spans="1:10" ht="39.6" x14ac:dyDescent="0.25">
      <c r="A404" s="39" t="s">
        <v>362</v>
      </c>
      <c r="B404" s="16" t="s">
        <v>101</v>
      </c>
      <c r="C404" s="16" t="s">
        <v>21</v>
      </c>
      <c r="D404" s="17" t="s">
        <v>102</v>
      </c>
      <c r="E404" s="16" t="s">
        <v>66</v>
      </c>
      <c r="F404" s="27">
        <v>151.5</v>
      </c>
      <c r="G404" s="67">
        <v>501.07</v>
      </c>
      <c r="H404" s="67">
        <v>604.29</v>
      </c>
      <c r="I404" s="18">
        <v>91549.93</v>
      </c>
      <c r="J404" s="40">
        <v>5.2304932806055329E-3</v>
      </c>
    </row>
    <row r="405" spans="1:10" x14ac:dyDescent="0.25">
      <c r="A405" s="43" t="s">
        <v>24</v>
      </c>
      <c r="B405" s="83"/>
      <c r="C405" s="83"/>
      <c r="D405" s="84" t="s">
        <v>3</v>
      </c>
      <c r="E405" s="85" t="s">
        <v>25</v>
      </c>
      <c r="F405" s="85"/>
      <c r="G405" s="85"/>
      <c r="H405" s="86"/>
      <c r="I405" s="87" t="s">
        <v>1911</v>
      </c>
      <c r="J405" s="44"/>
    </row>
    <row r="406" spans="1:10" x14ac:dyDescent="0.25">
      <c r="A406" s="51"/>
      <c r="B406" s="83"/>
      <c r="C406" s="83"/>
      <c r="D406" s="84" t="s">
        <v>343</v>
      </c>
      <c r="E406" s="85">
        <f>21.06</f>
        <v>21.06</v>
      </c>
      <c r="F406" s="85"/>
      <c r="G406" s="85"/>
      <c r="H406" s="85"/>
      <c r="I406" s="88">
        <v>21.06</v>
      </c>
      <c r="J406" s="44" t="s">
        <v>27</v>
      </c>
    </row>
    <row r="407" spans="1:10" ht="26.4" x14ac:dyDescent="0.25">
      <c r="A407" s="51"/>
      <c r="B407" s="83"/>
      <c r="C407" s="83"/>
      <c r="D407" s="84" t="s">
        <v>344</v>
      </c>
      <c r="E407" s="85">
        <f>83.8</f>
        <v>83.8</v>
      </c>
      <c r="F407" s="85"/>
      <c r="G407" s="85"/>
      <c r="H407" s="85"/>
      <c r="I407" s="88">
        <v>83.8</v>
      </c>
      <c r="J407" s="44" t="s">
        <v>27</v>
      </c>
    </row>
    <row r="408" spans="1:10" ht="26.4" x14ac:dyDescent="0.25">
      <c r="A408" s="51"/>
      <c r="B408" s="83"/>
      <c r="C408" s="83"/>
      <c r="D408" s="84" t="s">
        <v>342</v>
      </c>
      <c r="E408" s="85">
        <f>46.64</f>
        <v>46.64</v>
      </c>
      <c r="F408" s="85"/>
      <c r="G408" s="85"/>
      <c r="H408" s="85"/>
      <c r="I408" s="88">
        <v>46.64</v>
      </c>
      <c r="J408" s="44" t="s">
        <v>27</v>
      </c>
    </row>
    <row r="409" spans="1:10" ht="26.4" x14ac:dyDescent="0.25">
      <c r="A409" s="39" t="s">
        <v>363</v>
      </c>
      <c r="B409" s="16" t="s">
        <v>257</v>
      </c>
      <c r="C409" s="16" t="s">
        <v>21</v>
      </c>
      <c r="D409" s="17" t="s">
        <v>258</v>
      </c>
      <c r="E409" s="16" t="s">
        <v>66</v>
      </c>
      <c r="F409" s="27">
        <v>151.5</v>
      </c>
      <c r="G409" s="67">
        <v>276.02</v>
      </c>
      <c r="H409" s="67">
        <v>332.88</v>
      </c>
      <c r="I409" s="18">
        <v>50431.32</v>
      </c>
      <c r="J409" s="40">
        <v>2.8812767021456753E-3</v>
      </c>
    </row>
    <row r="410" spans="1:10" x14ac:dyDescent="0.25">
      <c r="A410" s="43" t="s">
        <v>24</v>
      </c>
      <c r="B410" s="83"/>
      <c r="C410" s="83"/>
      <c r="D410" s="84" t="s">
        <v>3</v>
      </c>
      <c r="E410" s="85" t="s">
        <v>25</v>
      </c>
      <c r="F410" s="85"/>
      <c r="G410" s="85"/>
      <c r="H410" s="86"/>
      <c r="I410" s="87" t="s">
        <v>1911</v>
      </c>
      <c r="J410" s="44"/>
    </row>
    <row r="411" spans="1:10" x14ac:dyDescent="0.25">
      <c r="A411" s="51"/>
      <c r="B411" s="83"/>
      <c r="C411" s="83"/>
      <c r="D411" s="84" t="s">
        <v>259</v>
      </c>
      <c r="E411" s="85">
        <f>151.5</f>
        <v>151.5</v>
      </c>
      <c r="F411" s="85"/>
      <c r="G411" s="85"/>
      <c r="H411" s="85"/>
      <c r="I411" s="88">
        <v>151.5</v>
      </c>
      <c r="J411" s="44" t="s">
        <v>27</v>
      </c>
    </row>
    <row r="412" spans="1:10" ht="26.4" x14ac:dyDescent="0.25">
      <c r="A412" s="39" t="s">
        <v>364</v>
      </c>
      <c r="B412" s="16" t="s">
        <v>365</v>
      </c>
      <c r="C412" s="16" t="s">
        <v>21</v>
      </c>
      <c r="D412" s="17" t="s">
        <v>366</v>
      </c>
      <c r="E412" s="16" t="s">
        <v>66</v>
      </c>
      <c r="F412" s="27">
        <v>362.36</v>
      </c>
      <c r="G412" s="67">
        <v>25.6</v>
      </c>
      <c r="H412" s="67">
        <v>30.87</v>
      </c>
      <c r="I412" s="18">
        <v>11186.05</v>
      </c>
      <c r="J412" s="40">
        <v>6.3908906715185387E-4</v>
      </c>
    </row>
    <row r="413" spans="1:10" x14ac:dyDescent="0.25">
      <c r="A413" s="43" t="s">
        <v>24</v>
      </c>
      <c r="B413" s="83"/>
      <c r="C413" s="83"/>
      <c r="D413" s="84" t="s">
        <v>3</v>
      </c>
      <c r="E413" s="85" t="s">
        <v>25</v>
      </c>
      <c r="F413" s="85"/>
      <c r="G413" s="85"/>
      <c r="H413" s="86"/>
      <c r="I413" s="87" t="s">
        <v>1911</v>
      </c>
      <c r="J413" s="44"/>
    </row>
    <row r="414" spans="1:10" ht="26.4" x14ac:dyDescent="0.25">
      <c r="A414" s="51"/>
      <c r="B414" s="83"/>
      <c r="C414" s="83"/>
      <c r="D414" s="84" t="s">
        <v>367</v>
      </c>
      <c r="E414" s="85">
        <f>540.82-26.96-151.5</f>
        <v>362.36</v>
      </c>
      <c r="F414" s="85"/>
      <c r="G414" s="85"/>
      <c r="H414" s="85"/>
      <c r="I414" s="88">
        <v>362.36</v>
      </c>
      <c r="J414" s="44" t="s">
        <v>27</v>
      </c>
    </row>
    <row r="415" spans="1:10" x14ac:dyDescent="0.25">
      <c r="A415" s="41" t="s">
        <v>368</v>
      </c>
      <c r="B415" s="13"/>
      <c r="C415" s="13"/>
      <c r="D415" s="14" t="s">
        <v>369</v>
      </c>
      <c r="E415" s="14"/>
      <c r="F415" s="26">
        <v>1</v>
      </c>
      <c r="G415" s="66"/>
      <c r="H415" s="66"/>
      <c r="I415" s="15">
        <v>237177.45</v>
      </c>
      <c r="J415" s="42">
        <v>1.3550584457422903E-2</v>
      </c>
    </row>
    <row r="416" spans="1:10" ht="26.4" x14ac:dyDescent="0.25">
      <c r="A416" s="39" t="s">
        <v>370</v>
      </c>
      <c r="B416" s="16" t="s">
        <v>371</v>
      </c>
      <c r="C416" s="16" t="s">
        <v>21</v>
      </c>
      <c r="D416" s="17" t="s">
        <v>372</v>
      </c>
      <c r="E416" s="16" t="s">
        <v>66</v>
      </c>
      <c r="F416" s="27">
        <v>151.648</v>
      </c>
      <c r="G416" s="67">
        <v>175.16</v>
      </c>
      <c r="H416" s="67">
        <v>211.24</v>
      </c>
      <c r="I416" s="18">
        <v>32034.12</v>
      </c>
      <c r="J416" s="40">
        <v>1.8301952760653266E-3</v>
      </c>
    </row>
    <row r="417" spans="1:10" x14ac:dyDescent="0.25">
      <c r="A417" s="43" t="s">
        <v>24</v>
      </c>
      <c r="B417" s="83"/>
      <c r="C417" s="83"/>
      <c r="D417" s="84" t="s">
        <v>3</v>
      </c>
      <c r="E417" s="85" t="s">
        <v>25</v>
      </c>
      <c r="F417" s="85"/>
      <c r="G417" s="85"/>
      <c r="H417" s="86"/>
      <c r="I417" s="87" t="s">
        <v>1911</v>
      </c>
      <c r="J417" s="44"/>
    </row>
    <row r="418" spans="1:10" x14ac:dyDescent="0.25">
      <c r="A418" s="51"/>
      <c r="B418" s="83"/>
      <c r="C418" s="83"/>
      <c r="D418" s="84" t="s">
        <v>90</v>
      </c>
      <c r="E418" s="85">
        <f>(1347.85+168.63)*0.1</f>
        <v>151.648</v>
      </c>
      <c r="F418" s="85"/>
      <c r="G418" s="85"/>
      <c r="H418" s="85"/>
      <c r="I418" s="88">
        <v>151.648</v>
      </c>
      <c r="J418" s="44" t="s">
        <v>27</v>
      </c>
    </row>
    <row r="419" spans="1:10" ht="39.6" x14ac:dyDescent="0.25">
      <c r="A419" s="39" t="s">
        <v>373</v>
      </c>
      <c r="B419" s="16" t="s">
        <v>374</v>
      </c>
      <c r="C419" s="16" t="s">
        <v>21</v>
      </c>
      <c r="D419" s="17" t="s">
        <v>375</v>
      </c>
      <c r="E419" s="16" t="s">
        <v>23</v>
      </c>
      <c r="F419" s="27">
        <v>28.946999999999999</v>
      </c>
      <c r="G419" s="67">
        <v>124.37</v>
      </c>
      <c r="H419" s="67">
        <v>149.99</v>
      </c>
      <c r="I419" s="18">
        <v>4341.76</v>
      </c>
      <c r="J419" s="40">
        <v>2.480564049148031E-4</v>
      </c>
    </row>
    <row r="420" spans="1:10" x14ac:dyDescent="0.25">
      <c r="A420" s="43" t="s">
        <v>24</v>
      </c>
      <c r="B420" s="83"/>
      <c r="C420" s="83"/>
      <c r="D420" s="84" t="s">
        <v>3</v>
      </c>
      <c r="E420" s="85" t="s">
        <v>25</v>
      </c>
      <c r="F420" s="85"/>
      <c r="G420" s="85"/>
      <c r="H420" s="86"/>
      <c r="I420" s="87" t="s">
        <v>1911</v>
      </c>
      <c r="J420" s="44"/>
    </row>
    <row r="421" spans="1:10" ht="26.4" x14ac:dyDescent="0.25">
      <c r="A421" s="51"/>
      <c r="B421" s="83"/>
      <c r="C421" s="83"/>
      <c r="D421" s="84" t="s">
        <v>376</v>
      </c>
      <c r="E421" s="85">
        <f>(228.67+60.8)*0.1</f>
        <v>28.946999999999999</v>
      </c>
      <c r="F421" s="85"/>
      <c r="G421" s="85"/>
      <c r="H421" s="85"/>
      <c r="I421" s="88">
        <v>28.946999999999999</v>
      </c>
      <c r="J421" s="44" t="s">
        <v>27</v>
      </c>
    </row>
    <row r="422" spans="1:10" ht="26.4" x14ac:dyDescent="0.25">
      <c r="A422" s="39" t="s">
        <v>377</v>
      </c>
      <c r="B422" s="16" t="s">
        <v>378</v>
      </c>
      <c r="C422" s="16" t="s">
        <v>21</v>
      </c>
      <c r="D422" s="17" t="s">
        <v>379</v>
      </c>
      <c r="E422" s="16" t="s">
        <v>23</v>
      </c>
      <c r="F422" s="27">
        <v>1516.48</v>
      </c>
      <c r="G422" s="67">
        <v>2.35</v>
      </c>
      <c r="H422" s="67">
        <v>2.83</v>
      </c>
      <c r="I422" s="18">
        <v>4291.63</v>
      </c>
      <c r="J422" s="40">
        <v>2.4519234343319679E-4</v>
      </c>
    </row>
    <row r="423" spans="1:10" x14ac:dyDescent="0.25">
      <c r="A423" s="43" t="s">
        <v>24</v>
      </c>
      <c r="B423" s="83"/>
      <c r="C423" s="83"/>
      <c r="D423" s="84" t="s">
        <v>3</v>
      </c>
      <c r="E423" s="85" t="s">
        <v>25</v>
      </c>
      <c r="F423" s="85"/>
      <c r="G423" s="85"/>
      <c r="H423" s="86"/>
      <c r="I423" s="87" t="s">
        <v>1911</v>
      </c>
      <c r="J423" s="44"/>
    </row>
    <row r="424" spans="1:10" x14ac:dyDescent="0.25">
      <c r="A424" s="51"/>
      <c r="B424" s="83"/>
      <c r="C424" s="83"/>
      <c r="D424" s="84" t="s">
        <v>90</v>
      </c>
      <c r="E424" s="85">
        <f>1347.85+168.63</f>
        <v>1516.48</v>
      </c>
      <c r="F424" s="85"/>
      <c r="G424" s="85"/>
      <c r="H424" s="85"/>
      <c r="I424" s="88">
        <v>1516.48</v>
      </c>
      <c r="J424" s="44" t="s">
        <v>27</v>
      </c>
    </row>
    <row r="425" spans="1:10" ht="26.4" x14ac:dyDescent="0.25">
      <c r="A425" s="39" t="s">
        <v>380</v>
      </c>
      <c r="B425" s="16" t="s">
        <v>381</v>
      </c>
      <c r="C425" s="16" t="s">
        <v>21</v>
      </c>
      <c r="D425" s="17" t="s">
        <v>382</v>
      </c>
      <c r="E425" s="16" t="s">
        <v>89</v>
      </c>
      <c r="F425" s="27">
        <v>4716.2528000000002</v>
      </c>
      <c r="G425" s="67">
        <v>13.13</v>
      </c>
      <c r="H425" s="67">
        <v>15.83</v>
      </c>
      <c r="I425" s="18">
        <v>74658.28</v>
      </c>
      <c r="J425" s="40">
        <v>4.2654279679030498E-3</v>
      </c>
    </row>
    <row r="426" spans="1:10" x14ac:dyDescent="0.25">
      <c r="A426" s="43" t="s">
        <v>24</v>
      </c>
      <c r="B426" s="83"/>
      <c r="C426" s="83"/>
      <c r="D426" s="84" t="s">
        <v>3</v>
      </c>
      <c r="E426" s="85" t="s">
        <v>25</v>
      </c>
      <c r="F426" s="85"/>
      <c r="G426" s="85"/>
      <c r="H426" s="86"/>
      <c r="I426" s="87" t="s">
        <v>1911</v>
      </c>
      <c r="J426" s="44"/>
    </row>
    <row r="427" spans="1:10" x14ac:dyDescent="0.25">
      <c r="A427" s="51"/>
      <c r="B427" s="83"/>
      <c r="C427" s="83"/>
      <c r="D427" s="84" t="s">
        <v>90</v>
      </c>
      <c r="E427" s="85">
        <f>1516.48*3.11</f>
        <v>4716.2528000000002</v>
      </c>
      <c r="F427" s="85"/>
      <c r="G427" s="85"/>
      <c r="H427" s="85"/>
      <c r="I427" s="88">
        <v>4716.2528000000002</v>
      </c>
      <c r="J427" s="44" t="s">
        <v>27</v>
      </c>
    </row>
    <row r="428" spans="1:10" x14ac:dyDescent="0.25">
      <c r="A428" s="39" t="s">
        <v>383</v>
      </c>
      <c r="B428" s="16" t="s">
        <v>160</v>
      </c>
      <c r="C428" s="16" t="s">
        <v>21</v>
      </c>
      <c r="D428" s="17" t="s">
        <v>161</v>
      </c>
      <c r="E428" s="16" t="s">
        <v>89</v>
      </c>
      <c r="F428" s="27">
        <v>194</v>
      </c>
      <c r="G428" s="67">
        <v>9.4600000000000009</v>
      </c>
      <c r="H428" s="67">
        <v>11.4</v>
      </c>
      <c r="I428" s="18">
        <v>2211.6</v>
      </c>
      <c r="J428" s="40">
        <v>1.2635464537643224E-4</v>
      </c>
    </row>
    <row r="429" spans="1:10" x14ac:dyDescent="0.25">
      <c r="A429" s="43" t="s">
        <v>24</v>
      </c>
      <c r="B429" s="83"/>
      <c r="C429" s="83"/>
      <c r="D429" s="84" t="s">
        <v>3</v>
      </c>
      <c r="E429" s="85" t="s">
        <v>25</v>
      </c>
      <c r="F429" s="85"/>
      <c r="G429" s="85"/>
      <c r="H429" s="86"/>
      <c r="I429" s="87" t="s">
        <v>1911</v>
      </c>
      <c r="J429" s="44"/>
    </row>
    <row r="430" spans="1:10" ht="26.4" x14ac:dyDescent="0.25">
      <c r="A430" s="51"/>
      <c r="B430" s="83"/>
      <c r="C430" s="83"/>
      <c r="D430" s="84" t="s">
        <v>384</v>
      </c>
      <c r="E430" s="85">
        <f>194</f>
        <v>194</v>
      </c>
      <c r="F430" s="85"/>
      <c r="G430" s="85"/>
      <c r="H430" s="85"/>
      <c r="I430" s="88">
        <v>194</v>
      </c>
      <c r="J430" s="44" t="s">
        <v>27</v>
      </c>
    </row>
    <row r="431" spans="1:10" x14ac:dyDescent="0.25">
      <c r="A431" s="39" t="s">
        <v>385</v>
      </c>
      <c r="B431" s="16" t="s">
        <v>166</v>
      </c>
      <c r="C431" s="16" t="s">
        <v>21</v>
      </c>
      <c r="D431" s="17" t="s">
        <v>167</v>
      </c>
      <c r="E431" s="16" t="s">
        <v>89</v>
      </c>
      <c r="F431" s="27">
        <v>268</v>
      </c>
      <c r="G431" s="67">
        <v>9.51</v>
      </c>
      <c r="H431" s="67">
        <v>11.46</v>
      </c>
      <c r="I431" s="18">
        <v>3071.28</v>
      </c>
      <c r="J431" s="40">
        <v>1.7547047171809045E-4</v>
      </c>
    </row>
    <row r="432" spans="1:10" x14ac:dyDescent="0.25">
      <c r="A432" s="43" t="s">
        <v>24</v>
      </c>
      <c r="B432" s="83"/>
      <c r="C432" s="83"/>
      <c r="D432" s="84" t="s">
        <v>3</v>
      </c>
      <c r="E432" s="85" t="s">
        <v>25</v>
      </c>
      <c r="F432" s="85"/>
      <c r="G432" s="85"/>
      <c r="H432" s="86"/>
      <c r="I432" s="87" t="s">
        <v>1911</v>
      </c>
      <c r="J432" s="44"/>
    </row>
    <row r="433" spans="1:10" ht="26.4" x14ac:dyDescent="0.25">
      <c r="A433" s="51"/>
      <c r="B433" s="83"/>
      <c r="C433" s="83"/>
      <c r="D433" s="84" t="s">
        <v>384</v>
      </c>
      <c r="E433" s="85">
        <f>268</f>
        <v>268</v>
      </c>
      <c r="F433" s="85"/>
      <c r="G433" s="85"/>
      <c r="H433" s="85"/>
      <c r="I433" s="88">
        <v>268</v>
      </c>
      <c r="J433" s="44" t="s">
        <v>27</v>
      </c>
    </row>
    <row r="434" spans="1:10" ht="39.6" x14ac:dyDescent="0.25">
      <c r="A434" s="39" t="s">
        <v>386</v>
      </c>
      <c r="B434" s="16" t="s">
        <v>387</v>
      </c>
      <c r="C434" s="16" t="s">
        <v>21</v>
      </c>
      <c r="D434" s="17" t="s">
        <v>388</v>
      </c>
      <c r="E434" s="16" t="s">
        <v>66</v>
      </c>
      <c r="F434" s="27">
        <v>151.648</v>
      </c>
      <c r="G434" s="67">
        <v>637.38</v>
      </c>
      <c r="H434" s="67">
        <v>768.68</v>
      </c>
      <c r="I434" s="18">
        <v>116568.78</v>
      </c>
      <c r="J434" s="40">
        <v>6.6598873480120044E-3</v>
      </c>
    </row>
    <row r="435" spans="1:10" x14ac:dyDescent="0.25">
      <c r="A435" s="43" t="s">
        <v>24</v>
      </c>
      <c r="B435" s="83"/>
      <c r="C435" s="83"/>
      <c r="D435" s="84" t="s">
        <v>3</v>
      </c>
      <c r="E435" s="85" t="s">
        <v>25</v>
      </c>
      <c r="F435" s="85"/>
      <c r="G435" s="85"/>
      <c r="H435" s="86"/>
      <c r="I435" s="87" t="s">
        <v>1911</v>
      </c>
      <c r="J435" s="44"/>
    </row>
    <row r="436" spans="1:10" ht="26.4" x14ac:dyDescent="0.25">
      <c r="A436" s="51"/>
      <c r="B436" s="83"/>
      <c r="C436" s="83"/>
      <c r="D436" s="84" t="s">
        <v>389</v>
      </c>
      <c r="E436" s="85">
        <f>1516.48*0.1</f>
        <v>151.648</v>
      </c>
      <c r="F436" s="85"/>
      <c r="G436" s="85"/>
      <c r="H436" s="85"/>
      <c r="I436" s="88">
        <v>151.648</v>
      </c>
      <c r="J436" s="44" t="s">
        <v>27</v>
      </c>
    </row>
    <row r="437" spans="1:10" x14ac:dyDescent="0.25">
      <c r="A437" s="41" t="s">
        <v>390</v>
      </c>
      <c r="B437" s="13"/>
      <c r="C437" s="13"/>
      <c r="D437" s="14" t="s">
        <v>391</v>
      </c>
      <c r="E437" s="14"/>
      <c r="F437" s="26">
        <v>1</v>
      </c>
      <c r="G437" s="66"/>
      <c r="H437" s="66"/>
      <c r="I437" s="15">
        <v>106911.02</v>
      </c>
      <c r="J437" s="42">
        <v>6.1081135914870036E-3</v>
      </c>
    </row>
    <row r="438" spans="1:10" ht="26.4" x14ac:dyDescent="0.25">
      <c r="A438" s="39" t="s">
        <v>392</v>
      </c>
      <c r="B438" s="16" t="s">
        <v>226</v>
      </c>
      <c r="C438" s="16" t="s">
        <v>56</v>
      </c>
      <c r="D438" s="17" t="s">
        <v>227</v>
      </c>
      <c r="E438" s="16" t="s">
        <v>66</v>
      </c>
      <c r="F438" s="27">
        <v>138.56</v>
      </c>
      <c r="G438" s="67">
        <v>7.2</v>
      </c>
      <c r="H438" s="67">
        <v>8.68</v>
      </c>
      <c r="I438" s="18">
        <v>1202.7</v>
      </c>
      <c r="J438" s="40">
        <v>6.8713479830997951E-5</v>
      </c>
    </row>
    <row r="439" spans="1:10" x14ac:dyDescent="0.25">
      <c r="A439" s="43" t="s">
        <v>24</v>
      </c>
      <c r="B439" s="83"/>
      <c r="C439" s="83"/>
      <c r="D439" s="84" t="s">
        <v>3</v>
      </c>
      <c r="E439" s="85" t="s">
        <v>25</v>
      </c>
      <c r="F439" s="85"/>
      <c r="G439" s="85"/>
      <c r="H439" s="86"/>
      <c r="I439" s="87" t="s">
        <v>1911</v>
      </c>
      <c r="J439" s="44"/>
    </row>
    <row r="440" spans="1:10" x14ac:dyDescent="0.25">
      <c r="A440" s="51"/>
      <c r="B440" s="83"/>
      <c r="C440" s="83"/>
      <c r="D440" s="84" t="s">
        <v>332</v>
      </c>
      <c r="E440" s="85">
        <f>(76.4*0.4*0.5)*2</f>
        <v>30.560000000000002</v>
      </c>
      <c r="F440" s="85"/>
      <c r="G440" s="85"/>
      <c r="H440" s="85"/>
      <c r="I440" s="88">
        <v>30.56</v>
      </c>
      <c r="J440" s="44" t="s">
        <v>27</v>
      </c>
    </row>
    <row r="441" spans="1:10" x14ac:dyDescent="0.25">
      <c r="A441" s="51"/>
      <c r="B441" s="83"/>
      <c r="C441" s="83"/>
      <c r="D441" s="84" t="s">
        <v>331</v>
      </c>
      <c r="E441" s="85">
        <f>(1.5*1.5*1.5)*32</f>
        <v>108</v>
      </c>
      <c r="F441" s="85"/>
      <c r="G441" s="85"/>
      <c r="H441" s="85"/>
      <c r="I441" s="88">
        <v>108</v>
      </c>
      <c r="J441" s="44" t="s">
        <v>27</v>
      </c>
    </row>
    <row r="442" spans="1:10" ht="26.4" x14ac:dyDescent="0.25">
      <c r="A442" s="39" t="s">
        <v>393</v>
      </c>
      <c r="B442" s="16" t="s">
        <v>232</v>
      </c>
      <c r="C442" s="16" t="s">
        <v>21</v>
      </c>
      <c r="D442" s="17" t="s">
        <v>233</v>
      </c>
      <c r="E442" s="16" t="s">
        <v>23</v>
      </c>
      <c r="F442" s="27">
        <v>115.2</v>
      </c>
      <c r="G442" s="67">
        <v>36.26</v>
      </c>
      <c r="H442" s="67">
        <v>43.72</v>
      </c>
      <c r="I442" s="18">
        <v>5036.54</v>
      </c>
      <c r="J442" s="40">
        <v>2.8775105155734134E-4</v>
      </c>
    </row>
    <row r="443" spans="1:10" x14ac:dyDescent="0.25">
      <c r="A443" s="43" t="s">
        <v>24</v>
      </c>
      <c r="B443" s="83"/>
      <c r="C443" s="83"/>
      <c r="D443" s="84" t="s">
        <v>3</v>
      </c>
      <c r="E443" s="85" t="s">
        <v>25</v>
      </c>
      <c r="F443" s="85"/>
      <c r="G443" s="85"/>
      <c r="H443" s="86"/>
      <c r="I443" s="87" t="s">
        <v>1911</v>
      </c>
      <c r="J443" s="44"/>
    </row>
    <row r="444" spans="1:10" x14ac:dyDescent="0.25">
      <c r="A444" s="51"/>
      <c r="B444" s="83"/>
      <c r="C444" s="83"/>
      <c r="D444" s="84" t="s">
        <v>331</v>
      </c>
      <c r="E444" s="85">
        <f>(1.3*1.3)*32</f>
        <v>54.080000000000005</v>
      </c>
      <c r="F444" s="85"/>
      <c r="G444" s="85"/>
      <c r="H444" s="85"/>
      <c r="I444" s="88">
        <v>54.08</v>
      </c>
      <c r="J444" s="44" t="s">
        <v>27</v>
      </c>
    </row>
    <row r="445" spans="1:10" x14ac:dyDescent="0.25">
      <c r="A445" s="51"/>
      <c r="B445" s="83"/>
      <c r="C445" s="83"/>
      <c r="D445" s="84" t="s">
        <v>332</v>
      </c>
      <c r="E445" s="85">
        <f>(76.4*0.4)*2</f>
        <v>61.120000000000005</v>
      </c>
      <c r="F445" s="85"/>
      <c r="G445" s="85"/>
      <c r="H445" s="85"/>
      <c r="I445" s="88">
        <v>61.12</v>
      </c>
      <c r="J445" s="44" t="s">
        <v>27</v>
      </c>
    </row>
    <row r="446" spans="1:10" ht="26.4" x14ac:dyDescent="0.25">
      <c r="A446" s="39" t="s">
        <v>394</v>
      </c>
      <c r="B446" s="16" t="s">
        <v>335</v>
      </c>
      <c r="C446" s="16" t="s">
        <v>21</v>
      </c>
      <c r="D446" s="17" t="s">
        <v>336</v>
      </c>
      <c r="E446" s="16" t="s">
        <v>23</v>
      </c>
      <c r="F446" s="27">
        <v>49.92</v>
      </c>
      <c r="G446" s="67">
        <v>130.9</v>
      </c>
      <c r="H446" s="67">
        <v>157.86000000000001</v>
      </c>
      <c r="I446" s="18">
        <v>7880.37</v>
      </c>
      <c r="J446" s="40">
        <v>4.5022669415132732E-4</v>
      </c>
    </row>
    <row r="447" spans="1:10" x14ac:dyDescent="0.25">
      <c r="A447" s="43" t="s">
        <v>24</v>
      </c>
      <c r="B447" s="83"/>
      <c r="C447" s="83"/>
      <c r="D447" s="84" t="s">
        <v>3</v>
      </c>
      <c r="E447" s="85" t="s">
        <v>25</v>
      </c>
      <c r="F447" s="85"/>
      <c r="G447" s="85"/>
      <c r="H447" s="86"/>
      <c r="I447" s="87" t="s">
        <v>1911</v>
      </c>
      <c r="J447" s="44"/>
    </row>
    <row r="448" spans="1:10" x14ac:dyDescent="0.25">
      <c r="A448" s="51"/>
      <c r="B448" s="83"/>
      <c r="C448" s="83"/>
      <c r="D448" s="84" t="s">
        <v>90</v>
      </c>
      <c r="E448" s="85">
        <f>49.92</f>
        <v>49.92</v>
      </c>
      <c r="F448" s="85"/>
      <c r="G448" s="85"/>
      <c r="H448" s="85"/>
      <c r="I448" s="88">
        <v>49.92</v>
      </c>
      <c r="J448" s="44" t="s">
        <v>27</v>
      </c>
    </row>
    <row r="449" spans="1:10" ht="26.4" x14ac:dyDescent="0.25">
      <c r="A449" s="39" t="s">
        <v>395</v>
      </c>
      <c r="B449" s="16" t="s">
        <v>175</v>
      </c>
      <c r="C449" s="16" t="s">
        <v>21</v>
      </c>
      <c r="D449" s="17" t="s">
        <v>176</v>
      </c>
      <c r="E449" s="16" t="s">
        <v>23</v>
      </c>
      <c r="F449" s="27">
        <v>88.32</v>
      </c>
      <c r="G449" s="67">
        <v>158.59</v>
      </c>
      <c r="H449" s="67">
        <v>191.25</v>
      </c>
      <c r="I449" s="18">
        <v>16891.2</v>
      </c>
      <c r="J449" s="40">
        <v>9.6503960299438977E-4</v>
      </c>
    </row>
    <row r="450" spans="1:10" x14ac:dyDescent="0.25">
      <c r="A450" s="43" t="s">
        <v>24</v>
      </c>
      <c r="B450" s="83"/>
      <c r="C450" s="83"/>
      <c r="D450" s="84" t="s">
        <v>3</v>
      </c>
      <c r="E450" s="85" t="s">
        <v>25</v>
      </c>
      <c r="F450" s="85"/>
      <c r="G450" s="85"/>
      <c r="H450" s="86"/>
      <c r="I450" s="87" t="s">
        <v>1911</v>
      </c>
      <c r="J450" s="44"/>
    </row>
    <row r="451" spans="1:10" x14ac:dyDescent="0.25">
      <c r="A451" s="51"/>
      <c r="B451" s="83"/>
      <c r="C451" s="83"/>
      <c r="D451" s="84" t="s">
        <v>90</v>
      </c>
      <c r="E451" s="85">
        <f>88.32</f>
        <v>88.32</v>
      </c>
      <c r="F451" s="85"/>
      <c r="G451" s="85"/>
      <c r="H451" s="85"/>
      <c r="I451" s="88">
        <v>88.32</v>
      </c>
      <c r="J451" s="44" t="s">
        <v>27</v>
      </c>
    </row>
    <row r="452" spans="1:10" ht="39.6" x14ac:dyDescent="0.25">
      <c r="A452" s="39" t="s">
        <v>396</v>
      </c>
      <c r="B452" s="16" t="s">
        <v>248</v>
      </c>
      <c r="C452" s="16" t="s">
        <v>21</v>
      </c>
      <c r="D452" s="17" t="s">
        <v>249</v>
      </c>
      <c r="E452" s="16" t="s">
        <v>23</v>
      </c>
      <c r="F452" s="27">
        <v>107.52</v>
      </c>
      <c r="G452" s="67">
        <v>69.349999999999994</v>
      </c>
      <c r="H452" s="67">
        <v>83.63</v>
      </c>
      <c r="I452" s="18">
        <v>8991.89</v>
      </c>
      <c r="J452" s="40">
        <v>5.13730815795753E-4</v>
      </c>
    </row>
    <row r="453" spans="1:10" x14ac:dyDescent="0.25">
      <c r="A453" s="43" t="s">
        <v>24</v>
      </c>
      <c r="B453" s="83"/>
      <c r="C453" s="83"/>
      <c r="D453" s="84" t="s">
        <v>3</v>
      </c>
      <c r="E453" s="85" t="s">
        <v>25</v>
      </c>
      <c r="F453" s="85"/>
      <c r="G453" s="85"/>
      <c r="H453" s="86"/>
      <c r="I453" s="87" t="s">
        <v>1911</v>
      </c>
      <c r="J453" s="44"/>
    </row>
    <row r="454" spans="1:10" x14ac:dyDescent="0.25">
      <c r="A454" s="51"/>
      <c r="B454" s="83"/>
      <c r="C454" s="83"/>
      <c r="D454" s="84" t="s">
        <v>90</v>
      </c>
      <c r="E454" s="85">
        <f>107.52</f>
        <v>107.52</v>
      </c>
      <c r="F454" s="85"/>
      <c r="G454" s="85"/>
      <c r="H454" s="85"/>
      <c r="I454" s="88">
        <v>107.52</v>
      </c>
      <c r="J454" s="44" t="s">
        <v>27</v>
      </c>
    </row>
    <row r="455" spans="1:10" x14ac:dyDescent="0.25">
      <c r="A455" s="39" t="s">
        <v>397</v>
      </c>
      <c r="B455" s="16" t="s">
        <v>160</v>
      </c>
      <c r="C455" s="16" t="s">
        <v>21</v>
      </c>
      <c r="D455" s="17" t="s">
        <v>161</v>
      </c>
      <c r="E455" s="16" t="s">
        <v>89</v>
      </c>
      <c r="F455" s="27">
        <v>624</v>
      </c>
      <c r="G455" s="67">
        <v>9.4600000000000009</v>
      </c>
      <c r="H455" s="67">
        <v>11.4</v>
      </c>
      <c r="I455" s="18">
        <v>7113.6</v>
      </c>
      <c r="J455" s="40">
        <v>4.0641906554068934E-4</v>
      </c>
    </row>
    <row r="456" spans="1:10" x14ac:dyDescent="0.25">
      <c r="A456" s="43" t="s">
        <v>24</v>
      </c>
      <c r="B456" s="83"/>
      <c r="C456" s="83"/>
      <c r="D456" s="84" t="s">
        <v>3</v>
      </c>
      <c r="E456" s="85" t="s">
        <v>25</v>
      </c>
      <c r="F456" s="85"/>
      <c r="G456" s="85"/>
      <c r="H456" s="86"/>
      <c r="I456" s="87" t="s">
        <v>1911</v>
      </c>
      <c r="J456" s="44"/>
    </row>
    <row r="457" spans="1:10" x14ac:dyDescent="0.25">
      <c r="A457" s="51"/>
      <c r="B457" s="83"/>
      <c r="C457" s="83"/>
      <c r="D457" s="84" t="s">
        <v>90</v>
      </c>
      <c r="E457" s="85">
        <f>624</f>
        <v>624</v>
      </c>
      <c r="F457" s="85"/>
      <c r="G457" s="85"/>
      <c r="H457" s="85"/>
      <c r="I457" s="88">
        <v>624</v>
      </c>
      <c r="J457" s="44" t="s">
        <v>27</v>
      </c>
    </row>
    <row r="458" spans="1:10" x14ac:dyDescent="0.25">
      <c r="A458" s="39" t="s">
        <v>398</v>
      </c>
      <c r="B458" s="16" t="s">
        <v>169</v>
      </c>
      <c r="C458" s="16" t="s">
        <v>21</v>
      </c>
      <c r="D458" s="17" t="s">
        <v>170</v>
      </c>
      <c r="E458" s="16" t="s">
        <v>89</v>
      </c>
      <c r="F458" s="27">
        <v>1866</v>
      </c>
      <c r="G458" s="67">
        <v>8.7799999999999994</v>
      </c>
      <c r="H458" s="67">
        <v>10.58</v>
      </c>
      <c r="I458" s="18">
        <v>19742.28</v>
      </c>
      <c r="J458" s="40">
        <v>1.1279294575521029E-3</v>
      </c>
    </row>
    <row r="459" spans="1:10" x14ac:dyDescent="0.25">
      <c r="A459" s="43" t="s">
        <v>24</v>
      </c>
      <c r="B459" s="83"/>
      <c r="C459" s="83"/>
      <c r="D459" s="84" t="s">
        <v>3</v>
      </c>
      <c r="E459" s="85" t="s">
        <v>25</v>
      </c>
      <c r="F459" s="85"/>
      <c r="G459" s="85"/>
      <c r="H459" s="86"/>
      <c r="I459" s="87" t="s">
        <v>1911</v>
      </c>
      <c r="J459" s="44"/>
    </row>
    <row r="460" spans="1:10" x14ac:dyDescent="0.25">
      <c r="A460" s="51"/>
      <c r="B460" s="83"/>
      <c r="C460" s="83"/>
      <c r="D460" s="84" t="s">
        <v>90</v>
      </c>
      <c r="E460" s="85">
        <f>1866</f>
        <v>1866</v>
      </c>
      <c r="F460" s="85"/>
      <c r="G460" s="85"/>
      <c r="H460" s="85"/>
      <c r="I460" s="88">
        <v>1866</v>
      </c>
      <c r="J460" s="44" t="s">
        <v>27</v>
      </c>
    </row>
    <row r="461" spans="1:10" ht="39.6" x14ac:dyDescent="0.25">
      <c r="A461" s="39" t="s">
        <v>399</v>
      </c>
      <c r="B461" s="16" t="s">
        <v>101</v>
      </c>
      <c r="C461" s="16" t="s">
        <v>21</v>
      </c>
      <c r="D461" s="17" t="s">
        <v>102</v>
      </c>
      <c r="E461" s="16" t="s">
        <v>66</v>
      </c>
      <c r="F461" s="27">
        <v>39.67</v>
      </c>
      <c r="G461" s="67">
        <v>501.07</v>
      </c>
      <c r="H461" s="67">
        <v>604.29</v>
      </c>
      <c r="I461" s="18">
        <v>23972.18</v>
      </c>
      <c r="J461" s="40">
        <v>1.3695950003617299E-3</v>
      </c>
    </row>
    <row r="462" spans="1:10" x14ac:dyDescent="0.25">
      <c r="A462" s="43" t="s">
        <v>24</v>
      </c>
      <c r="B462" s="83"/>
      <c r="C462" s="83"/>
      <c r="D462" s="84" t="s">
        <v>3</v>
      </c>
      <c r="E462" s="85" t="s">
        <v>25</v>
      </c>
      <c r="F462" s="85"/>
      <c r="G462" s="85"/>
      <c r="H462" s="86"/>
      <c r="I462" s="87" t="s">
        <v>1911</v>
      </c>
      <c r="J462" s="44"/>
    </row>
    <row r="463" spans="1:10" x14ac:dyDescent="0.25">
      <c r="A463" s="51"/>
      <c r="B463" s="83"/>
      <c r="C463" s="83"/>
      <c r="D463" s="84" t="s">
        <v>343</v>
      </c>
      <c r="E463" s="85">
        <f>11.68</f>
        <v>11.68</v>
      </c>
      <c r="F463" s="85"/>
      <c r="G463" s="85"/>
      <c r="H463" s="85"/>
      <c r="I463" s="88">
        <v>11.68</v>
      </c>
      <c r="J463" s="44" t="s">
        <v>27</v>
      </c>
    </row>
    <row r="464" spans="1:10" ht="26.4" x14ac:dyDescent="0.25">
      <c r="A464" s="51"/>
      <c r="B464" s="83"/>
      <c r="C464" s="83"/>
      <c r="D464" s="84" t="s">
        <v>342</v>
      </c>
      <c r="E464" s="85">
        <f>11.77</f>
        <v>11.77</v>
      </c>
      <c r="F464" s="85"/>
      <c r="G464" s="85"/>
      <c r="H464" s="85"/>
      <c r="I464" s="88">
        <v>11.77</v>
      </c>
      <c r="J464" s="44" t="s">
        <v>27</v>
      </c>
    </row>
    <row r="465" spans="1:10" ht="26.4" x14ac:dyDescent="0.25">
      <c r="A465" s="51"/>
      <c r="B465" s="83"/>
      <c r="C465" s="83"/>
      <c r="D465" s="84" t="s">
        <v>344</v>
      </c>
      <c r="E465" s="85">
        <f>16.22</f>
        <v>16.22</v>
      </c>
      <c r="F465" s="85"/>
      <c r="G465" s="85"/>
      <c r="H465" s="85"/>
      <c r="I465" s="88">
        <v>16.22</v>
      </c>
      <c r="J465" s="44" t="s">
        <v>27</v>
      </c>
    </row>
    <row r="466" spans="1:10" ht="26.4" x14ac:dyDescent="0.25">
      <c r="A466" s="39" t="s">
        <v>400</v>
      </c>
      <c r="B466" s="16" t="s">
        <v>257</v>
      </c>
      <c r="C466" s="16" t="s">
        <v>21</v>
      </c>
      <c r="D466" s="17" t="s">
        <v>258</v>
      </c>
      <c r="E466" s="16" t="s">
        <v>66</v>
      </c>
      <c r="F466" s="27">
        <v>39.67</v>
      </c>
      <c r="G466" s="67">
        <v>276.02</v>
      </c>
      <c r="H466" s="67">
        <v>332.88</v>
      </c>
      <c r="I466" s="18">
        <v>13205.34</v>
      </c>
      <c r="J466" s="40">
        <v>7.5445652594285397E-4</v>
      </c>
    </row>
    <row r="467" spans="1:10" x14ac:dyDescent="0.25">
      <c r="A467" s="43" t="s">
        <v>24</v>
      </c>
      <c r="B467" s="83"/>
      <c r="C467" s="83"/>
      <c r="D467" s="84" t="s">
        <v>3</v>
      </c>
      <c r="E467" s="85" t="s">
        <v>25</v>
      </c>
      <c r="F467" s="85"/>
      <c r="G467" s="85"/>
      <c r="H467" s="86"/>
      <c r="I467" s="87" t="s">
        <v>1911</v>
      </c>
      <c r="J467" s="44"/>
    </row>
    <row r="468" spans="1:10" x14ac:dyDescent="0.25">
      <c r="A468" s="51"/>
      <c r="B468" s="83"/>
      <c r="C468" s="83"/>
      <c r="D468" s="84" t="s">
        <v>259</v>
      </c>
      <c r="E468" s="85">
        <f>39.67</f>
        <v>39.67</v>
      </c>
      <c r="F468" s="85"/>
      <c r="G468" s="85"/>
      <c r="H468" s="85"/>
      <c r="I468" s="88">
        <v>39.67</v>
      </c>
      <c r="J468" s="44" t="s">
        <v>27</v>
      </c>
    </row>
    <row r="469" spans="1:10" ht="26.4" x14ac:dyDescent="0.25">
      <c r="A469" s="39" t="s">
        <v>401</v>
      </c>
      <c r="B469" s="16" t="s">
        <v>365</v>
      </c>
      <c r="C469" s="16" t="s">
        <v>21</v>
      </c>
      <c r="D469" s="17" t="s">
        <v>366</v>
      </c>
      <c r="E469" s="16" t="s">
        <v>66</v>
      </c>
      <c r="F469" s="27">
        <v>93.13</v>
      </c>
      <c r="G469" s="67">
        <v>25.6</v>
      </c>
      <c r="H469" s="67">
        <v>30.87</v>
      </c>
      <c r="I469" s="18">
        <v>2874.92</v>
      </c>
      <c r="J469" s="40">
        <v>1.642518977598176E-4</v>
      </c>
    </row>
    <row r="470" spans="1:10" x14ac:dyDescent="0.25">
      <c r="A470" s="43" t="s">
        <v>24</v>
      </c>
      <c r="B470" s="83"/>
      <c r="C470" s="83"/>
      <c r="D470" s="84" t="s">
        <v>3</v>
      </c>
      <c r="E470" s="85" t="s">
        <v>25</v>
      </c>
      <c r="F470" s="85"/>
      <c r="G470" s="85"/>
      <c r="H470" s="86"/>
      <c r="I470" s="87" t="s">
        <v>1911</v>
      </c>
      <c r="J470" s="44"/>
    </row>
    <row r="471" spans="1:10" ht="26.4" x14ac:dyDescent="0.25">
      <c r="A471" s="51"/>
      <c r="B471" s="83"/>
      <c r="C471" s="83"/>
      <c r="D471" s="84" t="s">
        <v>402</v>
      </c>
      <c r="E471" s="85">
        <f>138.56-5.76-39.67</f>
        <v>93.13000000000001</v>
      </c>
      <c r="F471" s="85"/>
      <c r="G471" s="85"/>
      <c r="H471" s="85"/>
      <c r="I471" s="88">
        <v>93.13</v>
      </c>
      <c r="J471" s="44" t="s">
        <v>27</v>
      </c>
    </row>
    <row r="472" spans="1:10" x14ac:dyDescent="0.25">
      <c r="A472" s="41" t="s">
        <v>403</v>
      </c>
      <c r="B472" s="13"/>
      <c r="C472" s="13"/>
      <c r="D472" s="14" t="s">
        <v>83</v>
      </c>
      <c r="E472" s="14"/>
      <c r="F472" s="26">
        <v>1</v>
      </c>
      <c r="G472" s="66"/>
      <c r="H472" s="66"/>
      <c r="I472" s="15">
        <v>110614.96</v>
      </c>
      <c r="J472" s="42">
        <v>6.3197296274770482E-3</v>
      </c>
    </row>
    <row r="473" spans="1:10" ht="26.4" x14ac:dyDescent="0.25">
      <c r="A473" s="39" t="s">
        <v>404</v>
      </c>
      <c r="B473" s="16" t="s">
        <v>50</v>
      </c>
      <c r="C473" s="16" t="s">
        <v>21</v>
      </c>
      <c r="D473" s="17" t="s">
        <v>51</v>
      </c>
      <c r="E473" s="16" t="s">
        <v>52</v>
      </c>
      <c r="F473" s="27">
        <v>40.167000000000002</v>
      </c>
      <c r="G473" s="67">
        <v>58.02</v>
      </c>
      <c r="H473" s="67">
        <v>69.97</v>
      </c>
      <c r="I473" s="18">
        <v>2810.48</v>
      </c>
      <c r="J473" s="40">
        <v>1.6057026756084071E-4</v>
      </c>
    </row>
    <row r="474" spans="1:10" x14ac:dyDescent="0.25">
      <c r="A474" s="43" t="s">
        <v>24</v>
      </c>
      <c r="B474" s="83"/>
      <c r="C474" s="83"/>
      <c r="D474" s="84" t="s">
        <v>3</v>
      </c>
      <c r="E474" s="85" t="s">
        <v>25</v>
      </c>
      <c r="F474" s="85"/>
      <c r="G474" s="85"/>
      <c r="H474" s="86"/>
      <c r="I474" s="87" t="s">
        <v>1911</v>
      </c>
      <c r="J474" s="44"/>
    </row>
    <row r="475" spans="1:10" ht="26.4" x14ac:dyDescent="0.25">
      <c r="A475" s="51"/>
      <c r="B475" s="83"/>
      <c r="C475" s="83"/>
      <c r="D475" s="84" t="s">
        <v>31</v>
      </c>
      <c r="E475" s="85">
        <f>40.167</f>
        <v>40.167000000000002</v>
      </c>
      <c r="F475" s="85"/>
      <c r="G475" s="85"/>
      <c r="H475" s="85"/>
      <c r="I475" s="88">
        <v>40.167000000000002</v>
      </c>
      <c r="J475" s="44" t="s">
        <v>27</v>
      </c>
    </row>
    <row r="476" spans="1:10" ht="26.4" x14ac:dyDescent="0.25">
      <c r="A476" s="39" t="s">
        <v>405</v>
      </c>
      <c r="B476" s="16" t="s">
        <v>365</v>
      </c>
      <c r="C476" s="16" t="s">
        <v>21</v>
      </c>
      <c r="D476" s="17" t="s">
        <v>366</v>
      </c>
      <c r="E476" s="16" t="s">
        <v>66</v>
      </c>
      <c r="F476" s="27">
        <v>3.8388</v>
      </c>
      <c r="G476" s="67">
        <v>25.6</v>
      </c>
      <c r="H476" s="67">
        <v>30.87</v>
      </c>
      <c r="I476" s="18">
        <v>118.5</v>
      </c>
      <c r="J476" s="40">
        <v>6.7702231312657E-6</v>
      </c>
    </row>
    <row r="477" spans="1:10" x14ac:dyDescent="0.25">
      <c r="A477" s="43" t="s">
        <v>24</v>
      </c>
      <c r="B477" s="83"/>
      <c r="C477" s="83"/>
      <c r="D477" s="84" t="s">
        <v>3</v>
      </c>
      <c r="E477" s="85" t="s">
        <v>25</v>
      </c>
      <c r="F477" s="85"/>
      <c r="G477" s="85"/>
      <c r="H477" s="86"/>
      <c r="I477" s="87" t="s">
        <v>1911</v>
      </c>
      <c r="J477" s="44"/>
    </row>
    <row r="478" spans="1:10" ht="26.4" x14ac:dyDescent="0.25">
      <c r="A478" s="51"/>
      <c r="B478" s="83"/>
      <c r="C478" s="83"/>
      <c r="D478" s="84" t="s">
        <v>31</v>
      </c>
      <c r="E478" s="85">
        <f>19.194*0.2</f>
        <v>3.8388</v>
      </c>
      <c r="F478" s="85"/>
      <c r="G478" s="85"/>
      <c r="H478" s="85"/>
      <c r="I478" s="88">
        <v>3.8388</v>
      </c>
      <c r="J478" s="44" t="s">
        <v>27</v>
      </c>
    </row>
    <row r="479" spans="1:10" ht="39.6" x14ac:dyDescent="0.25">
      <c r="A479" s="39" t="s">
        <v>406</v>
      </c>
      <c r="B479" s="16" t="s">
        <v>407</v>
      </c>
      <c r="C479" s="16" t="s">
        <v>21</v>
      </c>
      <c r="D479" s="17" t="s">
        <v>408</v>
      </c>
      <c r="E479" s="16" t="s">
        <v>66</v>
      </c>
      <c r="F479" s="27">
        <v>3.9597000000000002</v>
      </c>
      <c r="G479" s="67">
        <v>408.55</v>
      </c>
      <c r="H479" s="67">
        <v>492.71</v>
      </c>
      <c r="I479" s="18">
        <v>1950.98</v>
      </c>
      <c r="J479" s="40">
        <v>1.1146472510241988E-4</v>
      </c>
    </row>
    <row r="480" spans="1:10" x14ac:dyDescent="0.25">
      <c r="A480" s="43" t="s">
        <v>24</v>
      </c>
      <c r="B480" s="83"/>
      <c r="C480" s="83"/>
      <c r="D480" s="84" t="s">
        <v>3</v>
      </c>
      <c r="E480" s="85" t="s">
        <v>25</v>
      </c>
      <c r="F480" s="85"/>
      <c r="G480" s="85"/>
      <c r="H480" s="86"/>
      <c r="I480" s="87" t="s">
        <v>1911</v>
      </c>
      <c r="J480" s="44"/>
    </row>
    <row r="481" spans="1:10" ht="26.4" x14ac:dyDescent="0.25">
      <c r="A481" s="51"/>
      <c r="B481" s="83"/>
      <c r="C481" s="83"/>
      <c r="D481" s="84" t="s">
        <v>31</v>
      </c>
      <c r="E481" s="85">
        <f>79.194*0.05</f>
        <v>3.9597000000000002</v>
      </c>
      <c r="F481" s="85"/>
      <c r="G481" s="85"/>
      <c r="H481" s="85"/>
      <c r="I481" s="88">
        <v>3.9597000000000002</v>
      </c>
      <c r="J481" s="44" t="s">
        <v>27</v>
      </c>
    </row>
    <row r="482" spans="1:10" ht="26.4" x14ac:dyDescent="0.25">
      <c r="A482" s="39" t="s">
        <v>409</v>
      </c>
      <c r="B482" s="16" t="s">
        <v>335</v>
      </c>
      <c r="C482" s="16" t="s">
        <v>21</v>
      </c>
      <c r="D482" s="17" t="s">
        <v>336</v>
      </c>
      <c r="E482" s="16" t="s">
        <v>23</v>
      </c>
      <c r="F482" s="27">
        <v>177.23</v>
      </c>
      <c r="G482" s="67">
        <v>130.9</v>
      </c>
      <c r="H482" s="67">
        <v>157.86000000000001</v>
      </c>
      <c r="I482" s="18">
        <v>27977.52</v>
      </c>
      <c r="J482" s="40">
        <v>1.5984308275058966E-3</v>
      </c>
    </row>
    <row r="483" spans="1:10" x14ac:dyDescent="0.25">
      <c r="A483" s="43" t="s">
        <v>24</v>
      </c>
      <c r="B483" s="83"/>
      <c r="C483" s="83"/>
      <c r="D483" s="84" t="s">
        <v>3</v>
      </c>
      <c r="E483" s="85" t="s">
        <v>25</v>
      </c>
      <c r="F483" s="85"/>
      <c r="G483" s="85"/>
      <c r="H483" s="86"/>
      <c r="I483" s="87" t="s">
        <v>1911</v>
      </c>
      <c r="J483" s="44"/>
    </row>
    <row r="484" spans="1:10" ht="26.4" x14ac:dyDescent="0.25">
      <c r="A484" s="51"/>
      <c r="B484" s="83"/>
      <c r="C484" s="83"/>
      <c r="D484" s="84" t="s">
        <v>31</v>
      </c>
      <c r="E484" s="85">
        <f>177.23</f>
        <v>177.23</v>
      </c>
      <c r="F484" s="85"/>
      <c r="G484" s="85"/>
      <c r="H484" s="85"/>
      <c r="I484" s="88">
        <v>177.23</v>
      </c>
      <c r="J484" s="44" t="s">
        <v>27</v>
      </c>
    </row>
    <row r="485" spans="1:10" ht="39.6" x14ac:dyDescent="0.25">
      <c r="A485" s="39" t="s">
        <v>410</v>
      </c>
      <c r="B485" s="16" t="s">
        <v>411</v>
      </c>
      <c r="C485" s="16" t="s">
        <v>21</v>
      </c>
      <c r="D485" s="17" t="s">
        <v>412</v>
      </c>
      <c r="E485" s="16" t="s">
        <v>89</v>
      </c>
      <c r="F485" s="27">
        <v>65.599999999999994</v>
      </c>
      <c r="G485" s="67">
        <v>13.23</v>
      </c>
      <c r="H485" s="67">
        <v>15.95</v>
      </c>
      <c r="I485" s="18">
        <v>1046.32</v>
      </c>
      <c r="J485" s="40">
        <v>5.9779070605113313E-5</v>
      </c>
    </row>
    <row r="486" spans="1:10" x14ac:dyDescent="0.25">
      <c r="A486" s="43" t="s">
        <v>24</v>
      </c>
      <c r="B486" s="83"/>
      <c r="C486" s="83"/>
      <c r="D486" s="84" t="s">
        <v>3</v>
      </c>
      <c r="E486" s="85" t="s">
        <v>25</v>
      </c>
      <c r="F486" s="85"/>
      <c r="G486" s="85"/>
      <c r="H486" s="86"/>
      <c r="I486" s="87" t="s">
        <v>1911</v>
      </c>
      <c r="J486" s="44"/>
    </row>
    <row r="487" spans="1:10" ht="26.4" x14ac:dyDescent="0.25">
      <c r="A487" s="51"/>
      <c r="B487" s="83"/>
      <c r="C487" s="83"/>
      <c r="D487" s="84" t="s">
        <v>31</v>
      </c>
      <c r="E487" s="85">
        <f>65.6</f>
        <v>65.599999999999994</v>
      </c>
      <c r="F487" s="85"/>
      <c r="G487" s="85"/>
      <c r="H487" s="85"/>
      <c r="I487" s="88">
        <v>65.599999999999994</v>
      </c>
      <c r="J487" s="44" t="s">
        <v>27</v>
      </c>
    </row>
    <row r="488" spans="1:10" ht="39.6" x14ac:dyDescent="0.25">
      <c r="A488" s="39" t="s">
        <v>413</v>
      </c>
      <c r="B488" s="16" t="s">
        <v>414</v>
      </c>
      <c r="C488" s="16" t="s">
        <v>21</v>
      </c>
      <c r="D488" s="17" t="s">
        <v>415</v>
      </c>
      <c r="E488" s="16" t="s">
        <v>89</v>
      </c>
      <c r="F488" s="27">
        <v>331.6</v>
      </c>
      <c r="G488" s="67">
        <v>12.49</v>
      </c>
      <c r="H488" s="67">
        <v>15.06</v>
      </c>
      <c r="I488" s="18">
        <v>4993.8900000000003</v>
      </c>
      <c r="J488" s="40">
        <v>2.853143425569322E-4</v>
      </c>
    </row>
    <row r="489" spans="1:10" x14ac:dyDescent="0.25">
      <c r="A489" s="43" t="s">
        <v>24</v>
      </c>
      <c r="B489" s="83"/>
      <c r="C489" s="83"/>
      <c r="D489" s="84" t="s">
        <v>3</v>
      </c>
      <c r="E489" s="85" t="s">
        <v>25</v>
      </c>
      <c r="F489" s="85"/>
      <c r="G489" s="85"/>
      <c r="H489" s="86"/>
      <c r="I489" s="87" t="s">
        <v>1911</v>
      </c>
      <c r="J489" s="44"/>
    </row>
    <row r="490" spans="1:10" ht="26.4" x14ac:dyDescent="0.25">
      <c r="A490" s="51"/>
      <c r="B490" s="83"/>
      <c r="C490" s="83"/>
      <c r="D490" s="84" t="s">
        <v>31</v>
      </c>
      <c r="E490" s="85">
        <f>331.6</f>
        <v>331.6</v>
      </c>
      <c r="F490" s="85"/>
      <c r="G490" s="85"/>
      <c r="H490" s="85"/>
      <c r="I490" s="88">
        <v>331.6</v>
      </c>
      <c r="J490" s="44" t="s">
        <v>27</v>
      </c>
    </row>
    <row r="491" spans="1:10" ht="39.6" x14ac:dyDescent="0.25">
      <c r="A491" s="39" t="s">
        <v>416</v>
      </c>
      <c r="B491" s="16" t="s">
        <v>417</v>
      </c>
      <c r="C491" s="16" t="s">
        <v>21</v>
      </c>
      <c r="D491" s="17" t="s">
        <v>418</v>
      </c>
      <c r="E491" s="16" t="s">
        <v>89</v>
      </c>
      <c r="F491" s="27">
        <v>778.3</v>
      </c>
      <c r="G491" s="67">
        <v>11.74</v>
      </c>
      <c r="H491" s="67">
        <v>14.15</v>
      </c>
      <c r="I491" s="18">
        <v>11012.94</v>
      </c>
      <c r="J491" s="40">
        <v>6.2919882811174072E-4</v>
      </c>
    </row>
    <row r="492" spans="1:10" x14ac:dyDescent="0.25">
      <c r="A492" s="43" t="s">
        <v>24</v>
      </c>
      <c r="B492" s="83"/>
      <c r="C492" s="83"/>
      <c r="D492" s="84" t="s">
        <v>3</v>
      </c>
      <c r="E492" s="85" t="s">
        <v>25</v>
      </c>
      <c r="F492" s="85"/>
      <c r="G492" s="85"/>
      <c r="H492" s="86"/>
      <c r="I492" s="87" t="s">
        <v>1911</v>
      </c>
      <c r="J492" s="44"/>
    </row>
    <row r="493" spans="1:10" ht="26.4" x14ac:dyDescent="0.25">
      <c r="A493" s="51"/>
      <c r="B493" s="83"/>
      <c r="C493" s="83"/>
      <c r="D493" s="84" t="s">
        <v>31</v>
      </c>
      <c r="E493" s="85">
        <f>778.3</f>
        <v>778.3</v>
      </c>
      <c r="F493" s="85"/>
      <c r="G493" s="85"/>
      <c r="H493" s="85"/>
      <c r="I493" s="88">
        <v>778.3</v>
      </c>
      <c r="J493" s="44" t="s">
        <v>27</v>
      </c>
    </row>
    <row r="494" spans="1:10" ht="39.6" x14ac:dyDescent="0.25">
      <c r="A494" s="39" t="s">
        <v>419</v>
      </c>
      <c r="B494" s="16" t="s">
        <v>420</v>
      </c>
      <c r="C494" s="16" t="s">
        <v>21</v>
      </c>
      <c r="D494" s="17" t="s">
        <v>421</v>
      </c>
      <c r="E494" s="16" t="s">
        <v>89</v>
      </c>
      <c r="F494" s="27">
        <v>363.8</v>
      </c>
      <c r="G494" s="67">
        <v>10.48</v>
      </c>
      <c r="H494" s="67">
        <v>12.63</v>
      </c>
      <c r="I494" s="18">
        <v>4594.79</v>
      </c>
      <c r="J494" s="40">
        <v>2.6251268811230657E-4</v>
      </c>
    </row>
    <row r="495" spans="1:10" x14ac:dyDescent="0.25">
      <c r="A495" s="43" t="s">
        <v>24</v>
      </c>
      <c r="B495" s="83"/>
      <c r="C495" s="83"/>
      <c r="D495" s="84" t="s">
        <v>3</v>
      </c>
      <c r="E495" s="85" t="s">
        <v>25</v>
      </c>
      <c r="F495" s="85"/>
      <c r="G495" s="85"/>
      <c r="H495" s="86"/>
      <c r="I495" s="87" t="s">
        <v>1911</v>
      </c>
      <c r="J495" s="44"/>
    </row>
    <row r="496" spans="1:10" ht="26.4" x14ac:dyDescent="0.25">
      <c r="A496" s="51"/>
      <c r="B496" s="83"/>
      <c r="C496" s="83"/>
      <c r="D496" s="84" t="s">
        <v>31</v>
      </c>
      <c r="E496" s="85">
        <f>363.8</f>
        <v>363.8</v>
      </c>
      <c r="F496" s="85"/>
      <c r="G496" s="85"/>
      <c r="H496" s="85"/>
      <c r="I496" s="88">
        <v>363.8</v>
      </c>
      <c r="J496" s="44" t="s">
        <v>27</v>
      </c>
    </row>
    <row r="497" spans="1:10" ht="39.6" x14ac:dyDescent="0.25">
      <c r="A497" s="39" t="s">
        <v>422</v>
      </c>
      <c r="B497" s="16" t="s">
        <v>423</v>
      </c>
      <c r="C497" s="16" t="s">
        <v>21</v>
      </c>
      <c r="D497" s="17" t="s">
        <v>424</v>
      </c>
      <c r="E497" s="16" t="s">
        <v>89</v>
      </c>
      <c r="F497" s="27">
        <v>429.7</v>
      </c>
      <c r="G497" s="67">
        <v>8.81</v>
      </c>
      <c r="H497" s="67">
        <v>10.62</v>
      </c>
      <c r="I497" s="18">
        <v>4563.41</v>
      </c>
      <c r="J497" s="40">
        <v>2.6071986446792581E-4</v>
      </c>
    </row>
    <row r="498" spans="1:10" x14ac:dyDescent="0.25">
      <c r="A498" s="43" t="s">
        <v>24</v>
      </c>
      <c r="B498" s="83"/>
      <c r="C498" s="83"/>
      <c r="D498" s="84" t="s">
        <v>3</v>
      </c>
      <c r="E498" s="85" t="s">
        <v>25</v>
      </c>
      <c r="F498" s="85"/>
      <c r="G498" s="85"/>
      <c r="H498" s="86"/>
      <c r="I498" s="87" t="s">
        <v>1911</v>
      </c>
      <c r="J498" s="44"/>
    </row>
    <row r="499" spans="1:10" ht="26.4" x14ac:dyDescent="0.25">
      <c r="A499" s="51"/>
      <c r="B499" s="83"/>
      <c r="C499" s="83"/>
      <c r="D499" s="84" t="s">
        <v>31</v>
      </c>
      <c r="E499" s="85">
        <f>429.7</f>
        <v>429.7</v>
      </c>
      <c r="F499" s="85"/>
      <c r="G499" s="85"/>
      <c r="H499" s="85"/>
      <c r="I499" s="88">
        <v>429.7</v>
      </c>
      <c r="J499" s="44" t="s">
        <v>27</v>
      </c>
    </row>
    <row r="500" spans="1:10" ht="39.6" x14ac:dyDescent="0.25">
      <c r="A500" s="39" t="s">
        <v>425</v>
      </c>
      <c r="B500" s="16" t="s">
        <v>101</v>
      </c>
      <c r="C500" s="16" t="s">
        <v>21</v>
      </c>
      <c r="D500" s="17" t="s">
        <v>102</v>
      </c>
      <c r="E500" s="16" t="s">
        <v>66</v>
      </c>
      <c r="F500" s="27">
        <v>23.12</v>
      </c>
      <c r="G500" s="67">
        <v>501.07</v>
      </c>
      <c r="H500" s="67">
        <v>604.29</v>
      </c>
      <c r="I500" s="18">
        <v>13971.18</v>
      </c>
      <c r="J500" s="40">
        <v>7.9821102115676563E-4</v>
      </c>
    </row>
    <row r="501" spans="1:10" x14ac:dyDescent="0.25">
      <c r="A501" s="43" t="s">
        <v>24</v>
      </c>
      <c r="B501" s="83"/>
      <c r="C501" s="83"/>
      <c r="D501" s="84" t="s">
        <v>3</v>
      </c>
      <c r="E501" s="85" t="s">
        <v>25</v>
      </c>
      <c r="F501" s="85"/>
      <c r="G501" s="85"/>
      <c r="H501" s="86"/>
      <c r="I501" s="87" t="s">
        <v>1911</v>
      </c>
      <c r="J501" s="44"/>
    </row>
    <row r="502" spans="1:10" ht="26.4" x14ac:dyDescent="0.25">
      <c r="A502" s="51"/>
      <c r="B502" s="83"/>
      <c r="C502" s="83"/>
      <c r="D502" s="84" t="s">
        <v>31</v>
      </c>
      <c r="E502" s="85">
        <f>23.12</f>
        <v>23.12</v>
      </c>
      <c r="F502" s="85"/>
      <c r="G502" s="85"/>
      <c r="H502" s="85"/>
      <c r="I502" s="88">
        <v>23.12</v>
      </c>
      <c r="J502" s="44" t="s">
        <v>27</v>
      </c>
    </row>
    <row r="503" spans="1:10" ht="26.4" x14ac:dyDescent="0.25">
      <c r="A503" s="39" t="s">
        <v>426</v>
      </c>
      <c r="B503" s="16" t="s">
        <v>104</v>
      </c>
      <c r="C503" s="16" t="s">
        <v>21</v>
      </c>
      <c r="D503" s="17" t="s">
        <v>105</v>
      </c>
      <c r="E503" s="16" t="s">
        <v>66</v>
      </c>
      <c r="F503" s="27">
        <v>23.12</v>
      </c>
      <c r="G503" s="67">
        <v>38.770000000000003</v>
      </c>
      <c r="H503" s="67">
        <v>46.75</v>
      </c>
      <c r="I503" s="18">
        <v>1080.8599999999999</v>
      </c>
      <c r="J503" s="40">
        <v>6.1752433532994471E-5</v>
      </c>
    </row>
    <row r="504" spans="1:10" x14ac:dyDescent="0.25">
      <c r="A504" s="43" t="s">
        <v>24</v>
      </c>
      <c r="B504" s="83"/>
      <c r="C504" s="83"/>
      <c r="D504" s="84" t="s">
        <v>3</v>
      </c>
      <c r="E504" s="85" t="s">
        <v>25</v>
      </c>
      <c r="F504" s="85"/>
      <c r="G504" s="85"/>
      <c r="H504" s="86"/>
      <c r="I504" s="87" t="s">
        <v>1911</v>
      </c>
      <c r="J504" s="44"/>
    </row>
    <row r="505" spans="1:10" ht="26.4" x14ac:dyDescent="0.25">
      <c r="A505" s="51"/>
      <c r="B505" s="83"/>
      <c r="C505" s="83"/>
      <c r="D505" s="84" t="s">
        <v>31</v>
      </c>
      <c r="E505" s="85">
        <f>23.12</f>
        <v>23.12</v>
      </c>
      <c r="F505" s="85"/>
      <c r="G505" s="85"/>
      <c r="H505" s="85"/>
      <c r="I505" s="88">
        <v>23.12</v>
      </c>
      <c r="J505" s="44" t="s">
        <v>27</v>
      </c>
    </row>
    <row r="506" spans="1:10" ht="39.6" x14ac:dyDescent="0.25">
      <c r="A506" s="39" t="s">
        <v>427</v>
      </c>
      <c r="B506" s="16" t="s">
        <v>140</v>
      </c>
      <c r="C506" s="16" t="s">
        <v>21</v>
      </c>
      <c r="D506" s="17" t="s">
        <v>141</v>
      </c>
      <c r="E506" s="16" t="s">
        <v>23</v>
      </c>
      <c r="F506" s="27">
        <v>89.207999999999998</v>
      </c>
      <c r="G506" s="67">
        <v>57.1</v>
      </c>
      <c r="H506" s="67">
        <v>68.86</v>
      </c>
      <c r="I506" s="18">
        <v>6142.86</v>
      </c>
      <c r="J506" s="40">
        <v>3.5095808324157651E-4</v>
      </c>
    </row>
    <row r="507" spans="1:10" x14ac:dyDescent="0.25">
      <c r="A507" s="43" t="s">
        <v>24</v>
      </c>
      <c r="B507" s="83"/>
      <c r="C507" s="83"/>
      <c r="D507" s="84" t="s">
        <v>3</v>
      </c>
      <c r="E507" s="85" t="s">
        <v>25</v>
      </c>
      <c r="F507" s="85"/>
      <c r="G507" s="85"/>
      <c r="H507" s="86"/>
      <c r="I507" s="87" t="s">
        <v>1911</v>
      </c>
      <c r="J507" s="44"/>
    </row>
    <row r="508" spans="1:10" ht="26.4" x14ac:dyDescent="0.25">
      <c r="A508" s="51"/>
      <c r="B508" s="83"/>
      <c r="C508" s="83"/>
      <c r="D508" s="84" t="s">
        <v>31</v>
      </c>
      <c r="E508" s="85">
        <f>89.208</f>
        <v>89.207999999999998</v>
      </c>
      <c r="F508" s="85"/>
      <c r="G508" s="85"/>
      <c r="H508" s="85"/>
      <c r="I508" s="88">
        <v>89.207999999999998</v>
      </c>
      <c r="J508" s="44" t="s">
        <v>27</v>
      </c>
    </row>
    <row r="509" spans="1:10" ht="52.8" x14ac:dyDescent="0.25">
      <c r="A509" s="39" t="s">
        <v>428</v>
      </c>
      <c r="B509" s="16" t="s">
        <v>136</v>
      </c>
      <c r="C509" s="16" t="s">
        <v>14</v>
      </c>
      <c r="D509" s="17" t="s">
        <v>137</v>
      </c>
      <c r="E509" s="16" t="s">
        <v>138</v>
      </c>
      <c r="F509" s="27">
        <v>89.207999999999998</v>
      </c>
      <c r="G509" s="67">
        <v>282.12</v>
      </c>
      <c r="H509" s="67">
        <v>340.23</v>
      </c>
      <c r="I509" s="18">
        <v>30351.23</v>
      </c>
      <c r="J509" s="40">
        <v>1.7340472523912696E-3</v>
      </c>
    </row>
    <row r="510" spans="1:10" x14ac:dyDescent="0.25">
      <c r="A510" s="43" t="s">
        <v>24</v>
      </c>
      <c r="B510" s="83"/>
      <c r="C510" s="83"/>
      <c r="D510" s="84" t="s">
        <v>3</v>
      </c>
      <c r="E510" s="85" t="s">
        <v>25</v>
      </c>
      <c r="F510" s="85"/>
      <c r="G510" s="85"/>
      <c r="H510" s="86"/>
      <c r="I510" s="87" t="s">
        <v>1911</v>
      </c>
      <c r="J510" s="44"/>
    </row>
    <row r="511" spans="1:10" ht="26.4" x14ac:dyDescent="0.25">
      <c r="A511" s="51"/>
      <c r="B511" s="83"/>
      <c r="C511" s="83"/>
      <c r="D511" s="84" t="s">
        <v>31</v>
      </c>
      <c r="E511" s="85">
        <f>89.208</f>
        <v>89.207999999999998</v>
      </c>
      <c r="F511" s="85"/>
      <c r="G511" s="85"/>
      <c r="H511" s="85"/>
      <c r="I511" s="88">
        <v>89.207999999999998</v>
      </c>
      <c r="J511" s="44" t="s">
        <v>27</v>
      </c>
    </row>
    <row r="512" spans="1:10" x14ac:dyDescent="0.25">
      <c r="A512" s="41" t="s">
        <v>429</v>
      </c>
      <c r="B512" s="13"/>
      <c r="C512" s="13"/>
      <c r="D512" s="14" t="s">
        <v>441</v>
      </c>
      <c r="E512" s="14"/>
      <c r="F512" s="26">
        <v>1</v>
      </c>
      <c r="G512" s="66"/>
      <c r="H512" s="66"/>
      <c r="I512" s="15">
        <v>11357.59</v>
      </c>
      <c r="J512" s="42">
        <v>6.4888960787706329E-4</v>
      </c>
    </row>
    <row r="513" spans="1:10" ht="26.4" x14ac:dyDescent="0.25">
      <c r="A513" s="39" t="s">
        <v>430</v>
      </c>
      <c r="B513" s="16" t="s">
        <v>50</v>
      </c>
      <c r="C513" s="16" t="s">
        <v>21</v>
      </c>
      <c r="D513" s="17" t="s">
        <v>51</v>
      </c>
      <c r="E513" s="16" t="s">
        <v>52</v>
      </c>
      <c r="F513" s="27">
        <v>30.4</v>
      </c>
      <c r="G513" s="67">
        <v>58.02</v>
      </c>
      <c r="H513" s="67">
        <v>69.97</v>
      </c>
      <c r="I513" s="18">
        <v>2127.08</v>
      </c>
      <c r="J513" s="40">
        <v>1.2152579086964257E-4</v>
      </c>
    </row>
    <row r="514" spans="1:10" x14ac:dyDescent="0.25">
      <c r="A514" s="43" t="s">
        <v>24</v>
      </c>
      <c r="B514" s="83"/>
      <c r="C514" s="83"/>
      <c r="D514" s="84" t="s">
        <v>3</v>
      </c>
      <c r="E514" s="85" t="s">
        <v>25</v>
      </c>
      <c r="F514" s="85"/>
      <c r="G514" s="85"/>
      <c r="H514" s="86"/>
      <c r="I514" s="87" t="s">
        <v>1911</v>
      </c>
      <c r="J514" s="44"/>
    </row>
    <row r="515" spans="1:10" ht="26.4" x14ac:dyDescent="0.25">
      <c r="A515" s="51"/>
      <c r="B515" s="83"/>
      <c r="C515" s="83"/>
      <c r="D515" s="84" t="s">
        <v>443</v>
      </c>
      <c r="E515" s="85">
        <f>5+8.2+5+8.2+4</f>
        <v>30.4</v>
      </c>
      <c r="F515" s="85"/>
      <c r="G515" s="85"/>
      <c r="H515" s="85"/>
      <c r="I515" s="88">
        <v>30.4</v>
      </c>
      <c r="J515" s="44" t="s">
        <v>27</v>
      </c>
    </row>
    <row r="516" spans="1:10" ht="26.4" x14ac:dyDescent="0.25">
      <c r="A516" s="39" t="s">
        <v>431</v>
      </c>
      <c r="B516" s="16" t="s">
        <v>365</v>
      </c>
      <c r="C516" s="16" t="s">
        <v>21</v>
      </c>
      <c r="D516" s="17" t="s">
        <v>366</v>
      </c>
      <c r="E516" s="16" t="s">
        <v>66</v>
      </c>
      <c r="F516" s="27">
        <v>4.0999999999999996</v>
      </c>
      <c r="G516" s="67">
        <v>25.6</v>
      </c>
      <c r="H516" s="67">
        <v>30.87</v>
      </c>
      <c r="I516" s="18">
        <v>126.56</v>
      </c>
      <c r="J516" s="40">
        <v>7.2307125695610715E-6</v>
      </c>
    </row>
    <row r="517" spans="1:10" x14ac:dyDescent="0.25">
      <c r="A517" s="43" t="s">
        <v>24</v>
      </c>
      <c r="B517" s="83"/>
      <c r="C517" s="83"/>
      <c r="D517" s="84" t="s">
        <v>3</v>
      </c>
      <c r="E517" s="85" t="s">
        <v>25</v>
      </c>
      <c r="F517" s="85"/>
      <c r="G517" s="85"/>
      <c r="H517" s="86"/>
      <c r="I517" s="87" t="s">
        <v>1911</v>
      </c>
      <c r="J517" s="44"/>
    </row>
    <row r="518" spans="1:10" x14ac:dyDescent="0.25">
      <c r="A518" s="51"/>
      <c r="B518" s="83"/>
      <c r="C518" s="83"/>
      <c r="D518" s="84" t="s">
        <v>445</v>
      </c>
      <c r="E518" s="85">
        <f>8.2*5*0.1</f>
        <v>4.1000000000000005</v>
      </c>
      <c r="F518" s="85"/>
      <c r="G518" s="85"/>
      <c r="H518" s="85"/>
      <c r="I518" s="88">
        <v>4.0999999999999996</v>
      </c>
      <c r="J518" s="44" t="s">
        <v>27</v>
      </c>
    </row>
    <row r="519" spans="1:10" ht="39.6" x14ac:dyDescent="0.25">
      <c r="A519" s="39" t="s">
        <v>434</v>
      </c>
      <c r="B519" s="16" t="s">
        <v>407</v>
      </c>
      <c r="C519" s="16" t="s">
        <v>21</v>
      </c>
      <c r="D519" s="17" t="s">
        <v>408</v>
      </c>
      <c r="E519" s="16" t="s">
        <v>66</v>
      </c>
      <c r="F519" s="27">
        <v>2.0499999999999998</v>
      </c>
      <c r="G519" s="67">
        <v>408.55</v>
      </c>
      <c r="H519" s="67">
        <v>492.71</v>
      </c>
      <c r="I519" s="18">
        <v>1010.05</v>
      </c>
      <c r="J519" s="40">
        <v>5.7706868132784138E-5</v>
      </c>
    </row>
    <row r="520" spans="1:10" x14ac:dyDescent="0.25">
      <c r="A520" s="43" t="s">
        <v>24</v>
      </c>
      <c r="B520" s="83"/>
      <c r="C520" s="83"/>
      <c r="D520" s="84" t="s">
        <v>3</v>
      </c>
      <c r="E520" s="85" t="s">
        <v>25</v>
      </c>
      <c r="F520" s="85"/>
      <c r="G520" s="85"/>
      <c r="H520" s="86"/>
      <c r="I520" s="87" t="s">
        <v>1911</v>
      </c>
      <c r="J520" s="44"/>
    </row>
    <row r="521" spans="1:10" x14ac:dyDescent="0.25">
      <c r="A521" s="51"/>
      <c r="B521" s="83"/>
      <c r="C521" s="83"/>
      <c r="D521" s="84" t="s">
        <v>447</v>
      </c>
      <c r="E521" s="85">
        <f>8.2*5*0.05</f>
        <v>2.0500000000000003</v>
      </c>
      <c r="F521" s="85"/>
      <c r="G521" s="85"/>
      <c r="H521" s="85"/>
      <c r="I521" s="88">
        <v>2.0499999999999998</v>
      </c>
      <c r="J521" s="44" t="s">
        <v>27</v>
      </c>
    </row>
    <row r="522" spans="1:10" ht="26.4" x14ac:dyDescent="0.25">
      <c r="A522" s="39" t="s">
        <v>435</v>
      </c>
      <c r="B522" s="16" t="s">
        <v>378</v>
      </c>
      <c r="C522" s="16" t="s">
        <v>21</v>
      </c>
      <c r="D522" s="17" t="s">
        <v>379</v>
      </c>
      <c r="E522" s="16" t="s">
        <v>23</v>
      </c>
      <c r="F522" s="27">
        <v>42</v>
      </c>
      <c r="G522" s="67">
        <v>2.35</v>
      </c>
      <c r="H522" s="67">
        <v>2.83</v>
      </c>
      <c r="I522" s="18">
        <v>118.86</v>
      </c>
      <c r="J522" s="40">
        <v>6.7907908977404311E-6</v>
      </c>
    </row>
    <row r="523" spans="1:10" x14ac:dyDescent="0.25">
      <c r="A523" s="43" t="s">
        <v>24</v>
      </c>
      <c r="B523" s="83"/>
      <c r="C523" s="83"/>
      <c r="D523" s="84" t="s">
        <v>3</v>
      </c>
      <c r="E523" s="85" t="s">
        <v>25</v>
      </c>
      <c r="F523" s="85"/>
      <c r="G523" s="85"/>
      <c r="H523" s="86"/>
      <c r="I523" s="87" t="s">
        <v>1911</v>
      </c>
      <c r="J523" s="44"/>
    </row>
    <row r="524" spans="1:10" ht="26.4" x14ac:dyDescent="0.25">
      <c r="A524" s="51"/>
      <c r="B524" s="83"/>
      <c r="C524" s="83"/>
      <c r="D524" s="84" t="s">
        <v>449</v>
      </c>
      <c r="E524" s="85">
        <f>42</f>
        <v>42</v>
      </c>
      <c r="F524" s="85"/>
      <c r="G524" s="85"/>
      <c r="H524" s="85"/>
      <c r="I524" s="88">
        <v>42</v>
      </c>
      <c r="J524" s="44" t="s">
        <v>27</v>
      </c>
    </row>
    <row r="525" spans="1:10" ht="26.4" x14ac:dyDescent="0.25">
      <c r="A525" s="39" t="s">
        <v>436</v>
      </c>
      <c r="B525" s="16" t="s">
        <v>371</v>
      </c>
      <c r="C525" s="16" t="s">
        <v>21</v>
      </c>
      <c r="D525" s="17" t="s">
        <v>372</v>
      </c>
      <c r="E525" s="16" t="s">
        <v>66</v>
      </c>
      <c r="F525" s="27">
        <v>4.2</v>
      </c>
      <c r="G525" s="67">
        <v>175.16</v>
      </c>
      <c r="H525" s="67">
        <v>211.24</v>
      </c>
      <c r="I525" s="18">
        <v>887.2</v>
      </c>
      <c r="J525" s="40">
        <v>5.0688117823282103E-5</v>
      </c>
    </row>
    <row r="526" spans="1:10" x14ac:dyDescent="0.25">
      <c r="A526" s="43" t="s">
        <v>24</v>
      </c>
      <c r="B526" s="83"/>
      <c r="C526" s="83"/>
      <c r="D526" s="84" t="s">
        <v>3</v>
      </c>
      <c r="E526" s="85" t="s">
        <v>25</v>
      </c>
      <c r="F526" s="85"/>
      <c r="G526" s="85"/>
      <c r="H526" s="86"/>
      <c r="I526" s="87" t="s">
        <v>1911</v>
      </c>
      <c r="J526" s="44"/>
    </row>
    <row r="527" spans="1:10" ht="26.4" x14ac:dyDescent="0.25">
      <c r="A527" s="51"/>
      <c r="B527" s="83"/>
      <c r="C527" s="83"/>
      <c r="D527" s="84" t="s">
        <v>451</v>
      </c>
      <c r="E527" s="85">
        <f>42*0.1</f>
        <v>4.2</v>
      </c>
      <c r="F527" s="85"/>
      <c r="G527" s="85"/>
      <c r="H527" s="85"/>
      <c r="I527" s="88">
        <v>4.2</v>
      </c>
      <c r="J527" s="44" t="s">
        <v>27</v>
      </c>
    </row>
    <row r="528" spans="1:10" ht="26.4" x14ac:dyDescent="0.25">
      <c r="A528" s="39" t="s">
        <v>437</v>
      </c>
      <c r="B528" s="16" t="s">
        <v>381</v>
      </c>
      <c r="C528" s="16" t="s">
        <v>21</v>
      </c>
      <c r="D528" s="17" t="s">
        <v>382</v>
      </c>
      <c r="E528" s="16" t="s">
        <v>89</v>
      </c>
      <c r="F528" s="27">
        <v>127.51</v>
      </c>
      <c r="G528" s="67">
        <v>13.13</v>
      </c>
      <c r="H528" s="67">
        <v>15.83</v>
      </c>
      <c r="I528" s="18">
        <v>2018.48</v>
      </c>
      <c r="J528" s="40">
        <v>1.1532118131643199E-4</v>
      </c>
    </row>
    <row r="529" spans="1:10" x14ac:dyDescent="0.25">
      <c r="A529" s="43" t="s">
        <v>24</v>
      </c>
      <c r="B529" s="83"/>
      <c r="C529" s="83"/>
      <c r="D529" s="84" t="s">
        <v>3</v>
      </c>
      <c r="E529" s="85" t="s">
        <v>25</v>
      </c>
      <c r="F529" s="85"/>
      <c r="G529" s="85"/>
      <c r="H529" s="86"/>
      <c r="I529" s="87" t="s">
        <v>1911</v>
      </c>
      <c r="J529" s="44"/>
    </row>
    <row r="530" spans="1:10" ht="26.4" x14ac:dyDescent="0.25">
      <c r="A530" s="51"/>
      <c r="B530" s="83"/>
      <c r="C530" s="83"/>
      <c r="D530" s="84" t="s">
        <v>453</v>
      </c>
      <c r="E530" s="85">
        <f>3.11*41</f>
        <v>127.50999999999999</v>
      </c>
      <c r="F530" s="85"/>
      <c r="G530" s="85"/>
      <c r="H530" s="85"/>
      <c r="I530" s="88">
        <v>127.51</v>
      </c>
      <c r="J530" s="44" t="s">
        <v>27</v>
      </c>
    </row>
    <row r="531" spans="1:10" ht="39.6" x14ac:dyDescent="0.25">
      <c r="A531" s="39" t="s">
        <v>438</v>
      </c>
      <c r="B531" s="16" t="s">
        <v>455</v>
      </c>
      <c r="C531" s="16" t="s">
        <v>21</v>
      </c>
      <c r="D531" s="17" t="s">
        <v>456</v>
      </c>
      <c r="E531" s="16" t="s">
        <v>66</v>
      </c>
      <c r="F531" s="27">
        <v>5.04</v>
      </c>
      <c r="G531" s="67">
        <v>578.70000000000005</v>
      </c>
      <c r="H531" s="67">
        <v>697.91</v>
      </c>
      <c r="I531" s="18">
        <v>3517.46</v>
      </c>
      <c r="J531" s="40">
        <v>2.0096193295613375E-4</v>
      </c>
    </row>
    <row r="532" spans="1:10" x14ac:dyDescent="0.25">
      <c r="A532" s="43" t="s">
        <v>24</v>
      </c>
      <c r="B532" s="83"/>
      <c r="C532" s="83"/>
      <c r="D532" s="84" t="s">
        <v>3</v>
      </c>
      <c r="E532" s="85" t="s">
        <v>25</v>
      </c>
      <c r="F532" s="85"/>
      <c r="G532" s="85"/>
      <c r="H532" s="86"/>
      <c r="I532" s="87" t="s">
        <v>1911</v>
      </c>
      <c r="J532" s="44"/>
    </row>
    <row r="533" spans="1:10" x14ac:dyDescent="0.25">
      <c r="A533" s="51"/>
      <c r="B533" s="83"/>
      <c r="C533" s="83"/>
      <c r="D533" s="84" t="s">
        <v>457</v>
      </c>
      <c r="E533" s="85">
        <f>42*0.12</f>
        <v>5.04</v>
      </c>
      <c r="F533" s="85"/>
      <c r="G533" s="85"/>
      <c r="H533" s="85"/>
      <c r="I533" s="88">
        <v>5.04</v>
      </c>
      <c r="J533" s="44" t="s">
        <v>27</v>
      </c>
    </row>
    <row r="534" spans="1:10" ht="26.4" x14ac:dyDescent="0.25">
      <c r="A534" s="39" t="s">
        <v>439</v>
      </c>
      <c r="B534" s="16" t="s">
        <v>459</v>
      </c>
      <c r="C534" s="16" t="s">
        <v>21</v>
      </c>
      <c r="D534" s="17" t="s">
        <v>460</v>
      </c>
      <c r="E534" s="16" t="s">
        <v>23</v>
      </c>
      <c r="F534" s="27">
        <v>42</v>
      </c>
      <c r="G534" s="67">
        <v>30.64</v>
      </c>
      <c r="H534" s="67">
        <v>36.950000000000003</v>
      </c>
      <c r="I534" s="18">
        <v>1551.9</v>
      </c>
      <c r="J534" s="40">
        <v>8.8664213311487252E-5</v>
      </c>
    </row>
    <row r="535" spans="1:10" x14ac:dyDescent="0.25">
      <c r="A535" s="43" t="s">
        <v>24</v>
      </c>
      <c r="B535" s="83"/>
      <c r="C535" s="83"/>
      <c r="D535" s="84" t="s">
        <v>3</v>
      </c>
      <c r="E535" s="85" t="s">
        <v>25</v>
      </c>
      <c r="F535" s="85"/>
      <c r="G535" s="85"/>
      <c r="H535" s="86"/>
      <c r="I535" s="87" t="s">
        <v>1911</v>
      </c>
      <c r="J535" s="44"/>
    </row>
    <row r="536" spans="1:10" x14ac:dyDescent="0.25">
      <c r="A536" s="51"/>
      <c r="B536" s="83"/>
      <c r="C536" s="83"/>
      <c r="D536" s="84" t="s">
        <v>461</v>
      </c>
      <c r="E536" s="85">
        <f>42</f>
        <v>42</v>
      </c>
      <c r="F536" s="85"/>
      <c r="G536" s="85"/>
      <c r="H536" s="85"/>
      <c r="I536" s="88">
        <v>42</v>
      </c>
      <c r="J536" s="44" t="s">
        <v>27</v>
      </c>
    </row>
    <row r="537" spans="1:10" x14ac:dyDescent="0.25">
      <c r="A537" s="41" t="s">
        <v>440</v>
      </c>
      <c r="B537" s="13"/>
      <c r="C537" s="13"/>
      <c r="D537" s="14" t="s">
        <v>199</v>
      </c>
      <c r="E537" s="14"/>
      <c r="F537" s="26">
        <v>1</v>
      </c>
      <c r="G537" s="66"/>
      <c r="H537" s="66"/>
      <c r="I537" s="15">
        <v>486988.73</v>
      </c>
      <c r="J537" s="42">
        <v>2.7822973540183177E-2</v>
      </c>
    </row>
    <row r="538" spans="1:10" ht="26.4" x14ac:dyDescent="0.25">
      <c r="A538" s="39" t="s">
        <v>442</v>
      </c>
      <c r="B538" s="16" t="s">
        <v>50</v>
      </c>
      <c r="C538" s="16" t="s">
        <v>21</v>
      </c>
      <c r="D538" s="17" t="s">
        <v>51</v>
      </c>
      <c r="E538" s="16" t="s">
        <v>52</v>
      </c>
      <c r="F538" s="27">
        <v>94</v>
      </c>
      <c r="G538" s="67">
        <v>58.02</v>
      </c>
      <c r="H538" s="67">
        <v>69.97</v>
      </c>
      <c r="I538" s="18">
        <v>6577.18</v>
      </c>
      <c r="J538" s="40">
        <v>3.7577195083964671E-4</v>
      </c>
    </row>
    <row r="539" spans="1:10" x14ac:dyDescent="0.25">
      <c r="A539" s="43" t="s">
        <v>24</v>
      </c>
      <c r="B539" s="83"/>
      <c r="C539" s="83"/>
      <c r="D539" s="84" t="s">
        <v>3</v>
      </c>
      <c r="E539" s="85" t="s">
        <v>25</v>
      </c>
      <c r="F539" s="85"/>
      <c r="G539" s="85"/>
      <c r="H539" s="86"/>
      <c r="I539" s="87" t="s">
        <v>1911</v>
      </c>
      <c r="J539" s="44"/>
    </row>
    <row r="540" spans="1:10" ht="26.4" x14ac:dyDescent="0.25">
      <c r="A540" s="51"/>
      <c r="B540" s="83"/>
      <c r="C540" s="83"/>
      <c r="D540" s="84" t="s">
        <v>464</v>
      </c>
      <c r="E540" s="85">
        <f>25+20+25+20+4</f>
        <v>94</v>
      </c>
      <c r="F540" s="85"/>
      <c r="G540" s="85"/>
      <c r="H540" s="85"/>
      <c r="I540" s="88">
        <v>94</v>
      </c>
      <c r="J540" s="44" t="s">
        <v>27</v>
      </c>
    </row>
    <row r="541" spans="1:10" ht="66" x14ac:dyDescent="0.25">
      <c r="A541" s="39" t="s">
        <v>444</v>
      </c>
      <c r="B541" s="16" t="s">
        <v>432</v>
      </c>
      <c r="C541" s="16" t="s">
        <v>21</v>
      </c>
      <c r="D541" s="17" t="s">
        <v>433</v>
      </c>
      <c r="E541" s="16" t="s">
        <v>66</v>
      </c>
      <c r="F541" s="27">
        <v>546</v>
      </c>
      <c r="G541" s="67">
        <v>18.559999999999999</v>
      </c>
      <c r="H541" s="67">
        <v>22.38</v>
      </c>
      <c r="I541" s="18">
        <v>12219.48</v>
      </c>
      <c r="J541" s="40">
        <v>6.9813169745180253E-4</v>
      </c>
    </row>
    <row r="542" spans="1:10" x14ac:dyDescent="0.25">
      <c r="A542" s="43" t="s">
        <v>24</v>
      </c>
      <c r="B542" s="83"/>
      <c r="C542" s="83"/>
      <c r="D542" s="84" t="s">
        <v>3</v>
      </c>
      <c r="E542" s="85" t="s">
        <v>25</v>
      </c>
      <c r="F542" s="85"/>
      <c r="G542" s="85"/>
      <c r="H542" s="86"/>
      <c r="I542" s="87" t="s">
        <v>1911</v>
      </c>
      <c r="J542" s="44"/>
    </row>
    <row r="543" spans="1:10" ht="26.4" x14ac:dyDescent="0.25">
      <c r="A543" s="51"/>
      <c r="B543" s="83"/>
      <c r="C543" s="83"/>
      <c r="D543" s="84" t="s">
        <v>31</v>
      </c>
      <c r="E543" s="85">
        <f>26*21</f>
        <v>546</v>
      </c>
      <c r="F543" s="85"/>
      <c r="G543" s="85"/>
      <c r="H543" s="85"/>
      <c r="I543" s="88">
        <v>546</v>
      </c>
      <c r="J543" s="44" t="s">
        <v>27</v>
      </c>
    </row>
    <row r="544" spans="1:10" ht="39.6" x14ac:dyDescent="0.25">
      <c r="A544" s="39" t="s">
        <v>446</v>
      </c>
      <c r="B544" s="16" t="s">
        <v>407</v>
      </c>
      <c r="C544" s="16" t="s">
        <v>21</v>
      </c>
      <c r="D544" s="17" t="s">
        <v>408</v>
      </c>
      <c r="E544" s="16" t="s">
        <v>66</v>
      </c>
      <c r="F544" s="27">
        <v>25</v>
      </c>
      <c r="G544" s="67">
        <v>408.55</v>
      </c>
      <c r="H544" s="67">
        <v>492.71</v>
      </c>
      <c r="I544" s="18">
        <v>12317.75</v>
      </c>
      <c r="J544" s="40">
        <v>7.0374612637255759E-4</v>
      </c>
    </row>
    <row r="545" spans="1:10" x14ac:dyDescent="0.25">
      <c r="A545" s="43" t="s">
        <v>24</v>
      </c>
      <c r="B545" s="83"/>
      <c r="C545" s="83"/>
      <c r="D545" s="84" t="s">
        <v>3</v>
      </c>
      <c r="E545" s="85" t="s">
        <v>25</v>
      </c>
      <c r="F545" s="85"/>
      <c r="G545" s="85"/>
      <c r="H545" s="86"/>
      <c r="I545" s="87" t="s">
        <v>1911</v>
      </c>
      <c r="J545" s="44"/>
    </row>
    <row r="546" spans="1:10" ht="26.4" x14ac:dyDescent="0.25">
      <c r="A546" s="51"/>
      <c r="B546" s="83"/>
      <c r="C546" s="83"/>
      <c r="D546" s="84" t="s">
        <v>31</v>
      </c>
      <c r="E546" s="85">
        <f>25*20*0.05</f>
        <v>25</v>
      </c>
      <c r="F546" s="85"/>
      <c r="G546" s="85"/>
      <c r="H546" s="85"/>
      <c r="I546" s="88">
        <v>25</v>
      </c>
      <c r="J546" s="44" t="s">
        <v>27</v>
      </c>
    </row>
    <row r="547" spans="1:10" ht="39.6" x14ac:dyDescent="0.25">
      <c r="A547" s="39" t="s">
        <v>448</v>
      </c>
      <c r="B547" s="16" t="s">
        <v>374</v>
      </c>
      <c r="C547" s="16" t="s">
        <v>21</v>
      </c>
      <c r="D547" s="17" t="s">
        <v>375</v>
      </c>
      <c r="E547" s="16" t="s">
        <v>23</v>
      </c>
      <c r="F547" s="27">
        <v>580.46</v>
      </c>
      <c r="G547" s="67">
        <v>124.37</v>
      </c>
      <c r="H547" s="67">
        <v>149.99</v>
      </c>
      <c r="I547" s="18">
        <v>87063.19</v>
      </c>
      <c r="J547" s="40">
        <v>4.9741537790698783E-3</v>
      </c>
    </row>
    <row r="548" spans="1:10" x14ac:dyDescent="0.25">
      <c r="A548" s="43" t="s">
        <v>24</v>
      </c>
      <c r="B548" s="83"/>
      <c r="C548" s="83"/>
      <c r="D548" s="84" t="s">
        <v>3</v>
      </c>
      <c r="E548" s="85" t="s">
        <v>25</v>
      </c>
      <c r="F548" s="85"/>
      <c r="G548" s="85"/>
      <c r="H548" s="86"/>
      <c r="I548" s="87" t="s">
        <v>1911</v>
      </c>
      <c r="J548" s="44"/>
    </row>
    <row r="549" spans="1:10" ht="13.95" customHeight="1" x14ac:dyDescent="0.25">
      <c r="A549" s="51"/>
      <c r="B549" s="83"/>
      <c r="C549" s="83"/>
      <c r="D549" s="84" t="s">
        <v>31</v>
      </c>
      <c r="E549" s="85">
        <f>580.46</f>
        <v>580.46</v>
      </c>
      <c r="F549" s="85"/>
      <c r="G549" s="85"/>
      <c r="H549" s="85"/>
      <c r="I549" s="88">
        <v>580.46</v>
      </c>
      <c r="J549" s="44" t="s">
        <v>27</v>
      </c>
    </row>
    <row r="550" spans="1:10" x14ac:dyDescent="0.25">
      <c r="A550" s="39" t="s">
        <v>450</v>
      </c>
      <c r="B550" s="16" t="s">
        <v>163</v>
      </c>
      <c r="C550" s="16" t="s">
        <v>21</v>
      </c>
      <c r="D550" s="17" t="s">
        <v>164</v>
      </c>
      <c r="E550" s="16" t="s">
        <v>89</v>
      </c>
      <c r="F550" s="27">
        <v>129.1</v>
      </c>
      <c r="G550" s="67">
        <v>9.56</v>
      </c>
      <c r="H550" s="67">
        <v>11.52</v>
      </c>
      <c r="I550" s="18">
        <v>1487.23</v>
      </c>
      <c r="J550" s="40">
        <v>8.4969442595040403E-5</v>
      </c>
    </row>
    <row r="551" spans="1:10" x14ac:dyDescent="0.25">
      <c r="A551" s="43" t="s">
        <v>24</v>
      </c>
      <c r="B551" s="83"/>
      <c r="C551" s="83"/>
      <c r="D551" s="84" t="s">
        <v>3</v>
      </c>
      <c r="E551" s="85" t="s">
        <v>25</v>
      </c>
      <c r="F551" s="85"/>
      <c r="G551" s="85"/>
      <c r="H551" s="86"/>
      <c r="I551" s="87" t="s">
        <v>1911</v>
      </c>
      <c r="J551" s="44"/>
    </row>
    <row r="552" spans="1:10" ht="26.4" x14ac:dyDescent="0.25">
      <c r="A552" s="51"/>
      <c r="B552" s="83"/>
      <c r="C552" s="83"/>
      <c r="D552" s="84" t="s">
        <v>31</v>
      </c>
      <c r="E552" s="85">
        <f>129.1</f>
        <v>129.1</v>
      </c>
      <c r="F552" s="85"/>
      <c r="G552" s="85"/>
      <c r="H552" s="85"/>
      <c r="I552" s="88">
        <v>129.1</v>
      </c>
      <c r="J552" s="44" t="s">
        <v>27</v>
      </c>
    </row>
    <row r="553" spans="1:10" x14ac:dyDescent="0.25">
      <c r="A553" s="39" t="s">
        <v>452</v>
      </c>
      <c r="B553" s="16" t="s">
        <v>169</v>
      </c>
      <c r="C553" s="16" t="s">
        <v>21</v>
      </c>
      <c r="D553" s="17" t="s">
        <v>170</v>
      </c>
      <c r="E553" s="16" t="s">
        <v>89</v>
      </c>
      <c r="F553" s="27">
        <v>409</v>
      </c>
      <c r="G553" s="67">
        <v>8.7799999999999994</v>
      </c>
      <c r="H553" s="67">
        <v>10.58</v>
      </c>
      <c r="I553" s="18">
        <v>4327.22</v>
      </c>
      <c r="J553" s="40">
        <v>2.4722569567996254E-4</v>
      </c>
    </row>
    <row r="554" spans="1:10" x14ac:dyDescent="0.25">
      <c r="A554" s="43" t="s">
        <v>24</v>
      </c>
      <c r="B554" s="83"/>
      <c r="C554" s="83"/>
      <c r="D554" s="84" t="s">
        <v>3</v>
      </c>
      <c r="E554" s="85" t="s">
        <v>25</v>
      </c>
      <c r="F554" s="85"/>
      <c r="G554" s="85"/>
      <c r="H554" s="86"/>
      <c r="I554" s="87" t="s">
        <v>1911</v>
      </c>
      <c r="J554" s="44"/>
    </row>
    <row r="555" spans="1:10" ht="26.4" x14ac:dyDescent="0.25">
      <c r="A555" s="51"/>
      <c r="B555" s="83"/>
      <c r="C555" s="83"/>
      <c r="D555" s="84" t="s">
        <v>31</v>
      </c>
      <c r="E555" s="85">
        <f>409</f>
        <v>409</v>
      </c>
      <c r="F555" s="85"/>
      <c r="G555" s="85"/>
      <c r="H555" s="85"/>
      <c r="I555" s="88">
        <v>409</v>
      </c>
      <c r="J555" s="44" t="s">
        <v>27</v>
      </c>
    </row>
    <row r="556" spans="1:10" ht="26.4" x14ac:dyDescent="0.25">
      <c r="A556" s="39" t="s">
        <v>454</v>
      </c>
      <c r="B556" s="16" t="s">
        <v>112</v>
      </c>
      <c r="C556" s="16" t="s">
        <v>21</v>
      </c>
      <c r="D556" s="17" t="s">
        <v>113</v>
      </c>
      <c r="E556" s="16" t="s">
        <v>89</v>
      </c>
      <c r="F556" s="27">
        <v>4835.7</v>
      </c>
      <c r="G556" s="67">
        <v>11.99</v>
      </c>
      <c r="H556" s="67">
        <v>14.45</v>
      </c>
      <c r="I556" s="18">
        <v>69875.86</v>
      </c>
      <c r="J556" s="40">
        <v>3.9921954741694828E-3</v>
      </c>
    </row>
    <row r="557" spans="1:10" x14ac:dyDescent="0.25">
      <c r="A557" s="43" t="s">
        <v>24</v>
      </c>
      <c r="B557" s="83"/>
      <c r="C557" s="83"/>
      <c r="D557" s="84" t="s">
        <v>3</v>
      </c>
      <c r="E557" s="85" t="s">
        <v>25</v>
      </c>
      <c r="F557" s="85"/>
      <c r="G557" s="85"/>
      <c r="H557" s="86"/>
      <c r="I557" s="87" t="s">
        <v>1911</v>
      </c>
      <c r="J557" s="44"/>
    </row>
    <row r="558" spans="1:10" ht="26.4" x14ac:dyDescent="0.25">
      <c r="A558" s="51"/>
      <c r="B558" s="83"/>
      <c r="C558" s="83"/>
      <c r="D558" s="84" t="s">
        <v>31</v>
      </c>
      <c r="E558" s="85">
        <f>4835.7</f>
        <v>4835.7</v>
      </c>
      <c r="F558" s="85"/>
      <c r="G558" s="85"/>
      <c r="H558" s="85"/>
      <c r="I558" s="88">
        <v>4835.7</v>
      </c>
      <c r="J558" s="44" t="s">
        <v>27</v>
      </c>
    </row>
    <row r="559" spans="1:10" ht="39.6" x14ac:dyDescent="0.25">
      <c r="A559" s="39" t="s">
        <v>458</v>
      </c>
      <c r="B559" s="16" t="s">
        <v>214</v>
      </c>
      <c r="C559" s="16" t="s">
        <v>21</v>
      </c>
      <c r="D559" s="17" t="s">
        <v>215</v>
      </c>
      <c r="E559" s="16" t="s">
        <v>66</v>
      </c>
      <c r="F559" s="27">
        <v>156.16999999999999</v>
      </c>
      <c r="G559" s="67">
        <v>516.25</v>
      </c>
      <c r="H559" s="67">
        <v>622.59</v>
      </c>
      <c r="I559" s="18">
        <v>97229.88</v>
      </c>
      <c r="J559" s="40">
        <v>5.5550040727948375E-3</v>
      </c>
    </row>
    <row r="560" spans="1:10" x14ac:dyDescent="0.25">
      <c r="A560" s="43" t="s">
        <v>24</v>
      </c>
      <c r="B560" s="83"/>
      <c r="C560" s="83"/>
      <c r="D560" s="84" t="s">
        <v>3</v>
      </c>
      <c r="E560" s="85" t="s">
        <v>25</v>
      </c>
      <c r="F560" s="85"/>
      <c r="G560" s="85"/>
      <c r="H560" s="86"/>
      <c r="I560" s="87" t="s">
        <v>1911</v>
      </c>
      <c r="J560" s="44"/>
    </row>
    <row r="561" spans="1:10" ht="26.4" x14ac:dyDescent="0.25">
      <c r="A561" s="51"/>
      <c r="B561" s="83"/>
      <c r="C561" s="83"/>
      <c r="D561" s="84" t="s">
        <v>31</v>
      </c>
      <c r="E561" s="85">
        <f>156.17</f>
        <v>156.16999999999999</v>
      </c>
      <c r="F561" s="85"/>
      <c r="G561" s="85"/>
      <c r="H561" s="85"/>
      <c r="I561" s="88">
        <v>156.16999999999999</v>
      </c>
      <c r="J561" s="44" t="s">
        <v>27</v>
      </c>
    </row>
    <row r="562" spans="1:10" ht="26.4" x14ac:dyDescent="0.25">
      <c r="A562" s="39" t="s">
        <v>1917</v>
      </c>
      <c r="B562" s="16" t="s">
        <v>104</v>
      </c>
      <c r="C562" s="16" t="s">
        <v>21</v>
      </c>
      <c r="D562" s="17" t="s">
        <v>105</v>
      </c>
      <c r="E562" s="16" t="s">
        <v>66</v>
      </c>
      <c r="F562" s="27">
        <v>156.16999999999999</v>
      </c>
      <c r="G562" s="67">
        <v>38.770000000000003</v>
      </c>
      <c r="H562" s="67">
        <v>46.75</v>
      </c>
      <c r="I562" s="18">
        <v>7300.94</v>
      </c>
      <c r="J562" s="40">
        <v>4.1712230268340083E-4</v>
      </c>
    </row>
    <row r="563" spans="1:10" x14ac:dyDescent="0.25">
      <c r="A563" s="43" t="s">
        <v>24</v>
      </c>
      <c r="B563" s="83"/>
      <c r="C563" s="83"/>
      <c r="D563" s="84" t="s">
        <v>3</v>
      </c>
      <c r="E563" s="85" t="s">
        <v>25</v>
      </c>
      <c r="F563" s="85"/>
      <c r="G563" s="85"/>
      <c r="H563" s="86"/>
      <c r="I563" s="87" t="s">
        <v>1911</v>
      </c>
      <c r="J563" s="44"/>
    </row>
    <row r="564" spans="1:10" ht="26.4" x14ac:dyDescent="0.25">
      <c r="A564" s="51"/>
      <c r="B564" s="83"/>
      <c r="C564" s="83"/>
      <c r="D564" s="84" t="s">
        <v>31</v>
      </c>
      <c r="E564" s="85">
        <f>156.17</f>
        <v>156.16999999999999</v>
      </c>
      <c r="F564" s="85"/>
      <c r="G564" s="85"/>
      <c r="H564" s="85"/>
      <c r="I564" s="88">
        <v>156.16999999999999</v>
      </c>
      <c r="J564" s="44" t="s">
        <v>27</v>
      </c>
    </row>
    <row r="565" spans="1:10" ht="26.4" x14ac:dyDescent="0.25">
      <c r="A565" s="39" t="s">
        <v>1918</v>
      </c>
      <c r="B565" s="16" t="s">
        <v>459</v>
      </c>
      <c r="C565" s="16" t="s">
        <v>21</v>
      </c>
      <c r="D565" s="17" t="s">
        <v>460</v>
      </c>
      <c r="E565" s="16" t="s">
        <v>23</v>
      </c>
      <c r="F565" s="27">
        <v>500</v>
      </c>
      <c r="G565" s="67">
        <v>30.64</v>
      </c>
      <c r="H565" s="67">
        <v>36.950000000000003</v>
      </c>
      <c r="I565" s="18">
        <v>18475</v>
      </c>
      <c r="J565" s="40">
        <v>1.0555263489462768E-3</v>
      </c>
    </row>
    <row r="566" spans="1:10" x14ac:dyDescent="0.25">
      <c r="A566" s="43" t="s">
        <v>24</v>
      </c>
      <c r="B566" s="83"/>
      <c r="C566" s="83"/>
      <c r="D566" s="84" t="s">
        <v>3</v>
      </c>
      <c r="E566" s="85" t="s">
        <v>25</v>
      </c>
      <c r="F566" s="85"/>
      <c r="G566" s="85"/>
      <c r="H566" s="86"/>
      <c r="I566" s="87" t="s">
        <v>1911</v>
      </c>
      <c r="J566" s="44"/>
    </row>
    <row r="567" spans="1:10" ht="26.4" x14ac:dyDescent="0.25">
      <c r="A567" s="51"/>
      <c r="B567" s="83"/>
      <c r="C567" s="83"/>
      <c r="D567" s="84" t="s">
        <v>31</v>
      </c>
      <c r="E567" s="85">
        <f>25*20</f>
        <v>500</v>
      </c>
      <c r="F567" s="85"/>
      <c r="G567" s="85"/>
      <c r="H567" s="85"/>
      <c r="I567" s="88">
        <v>500</v>
      </c>
      <c r="J567" s="44" t="s">
        <v>27</v>
      </c>
    </row>
    <row r="568" spans="1:10" ht="52.8" x14ac:dyDescent="0.25">
      <c r="A568" s="39" t="s">
        <v>1919</v>
      </c>
      <c r="B568" s="16" t="s">
        <v>136</v>
      </c>
      <c r="C568" s="16" t="s">
        <v>14</v>
      </c>
      <c r="D568" s="17" t="s">
        <v>137</v>
      </c>
      <c r="E568" s="16" t="s">
        <v>138</v>
      </c>
      <c r="F568" s="27">
        <v>500</v>
      </c>
      <c r="G568" s="67">
        <v>282.12</v>
      </c>
      <c r="H568" s="67">
        <v>340.23</v>
      </c>
      <c r="I568" s="18">
        <v>170115</v>
      </c>
      <c r="J568" s="40">
        <v>9.7191266495802921E-3</v>
      </c>
    </row>
    <row r="569" spans="1:10" x14ac:dyDescent="0.25">
      <c r="A569" s="43" t="s">
        <v>24</v>
      </c>
      <c r="B569" s="83"/>
      <c r="C569" s="83"/>
      <c r="D569" s="84" t="s">
        <v>3</v>
      </c>
      <c r="E569" s="85" t="s">
        <v>25</v>
      </c>
      <c r="F569" s="85"/>
      <c r="G569" s="85"/>
      <c r="H569" s="86"/>
      <c r="I569" s="87" t="s">
        <v>1911</v>
      </c>
      <c r="J569" s="44"/>
    </row>
    <row r="570" spans="1:10" ht="26.4" x14ac:dyDescent="0.25">
      <c r="A570" s="51"/>
      <c r="B570" s="83"/>
      <c r="C570" s="83"/>
      <c r="D570" s="84" t="s">
        <v>31</v>
      </c>
      <c r="E570" s="85">
        <f>25*20</f>
        <v>500</v>
      </c>
      <c r="F570" s="85"/>
      <c r="G570" s="85"/>
      <c r="H570" s="85"/>
      <c r="I570" s="88">
        <v>500</v>
      </c>
      <c r="J570" s="44" t="s">
        <v>27</v>
      </c>
    </row>
    <row r="571" spans="1:10" x14ac:dyDescent="0.25">
      <c r="A571" s="41" t="s">
        <v>462</v>
      </c>
      <c r="B571" s="13"/>
      <c r="C571" s="13"/>
      <c r="D571" s="14" t="s">
        <v>475</v>
      </c>
      <c r="E571" s="14"/>
      <c r="F571" s="26">
        <v>1</v>
      </c>
      <c r="G571" s="66"/>
      <c r="H571" s="66"/>
      <c r="I571" s="15">
        <v>47819.05</v>
      </c>
      <c r="J571" s="42">
        <v>2.7320307040097137E-3</v>
      </c>
    </row>
    <row r="572" spans="1:10" ht="26.4" x14ac:dyDescent="0.25">
      <c r="A572" s="39" t="s">
        <v>463</v>
      </c>
      <c r="B572" s="16" t="s">
        <v>50</v>
      </c>
      <c r="C572" s="16" t="s">
        <v>21</v>
      </c>
      <c r="D572" s="17" t="s">
        <v>51</v>
      </c>
      <c r="E572" s="16" t="s">
        <v>52</v>
      </c>
      <c r="F572" s="27">
        <v>51.32</v>
      </c>
      <c r="G572" s="67">
        <v>58.02</v>
      </c>
      <c r="H572" s="67">
        <v>69.97</v>
      </c>
      <c r="I572" s="18">
        <v>3590.86</v>
      </c>
      <c r="J572" s="40">
        <v>2.0515547200959284E-4</v>
      </c>
    </row>
    <row r="573" spans="1:10" x14ac:dyDescent="0.25">
      <c r="A573" s="43" t="s">
        <v>24</v>
      </c>
      <c r="B573" s="83"/>
      <c r="C573" s="83"/>
      <c r="D573" s="84" t="s">
        <v>3</v>
      </c>
      <c r="E573" s="85" t="s">
        <v>25</v>
      </c>
      <c r="F573" s="85"/>
      <c r="G573" s="85"/>
      <c r="H573" s="86"/>
      <c r="I573" s="87" t="s">
        <v>1911</v>
      </c>
      <c r="J573" s="44"/>
    </row>
    <row r="574" spans="1:10" ht="26.4" x14ac:dyDescent="0.25">
      <c r="A574" s="51"/>
      <c r="B574" s="83"/>
      <c r="C574" s="83"/>
      <c r="D574" s="84" t="s">
        <v>31</v>
      </c>
      <c r="E574" s="85">
        <f>4.26+19.4+4.26+19.4+4</f>
        <v>51.319999999999993</v>
      </c>
      <c r="F574" s="85"/>
      <c r="G574" s="85"/>
      <c r="H574" s="85"/>
      <c r="I574" s="88">
        <v>51.32</v>
      </c>
      <c r="J574" s="44" t="s">
        <v>27</v>
      </c>
    </row>
    <row r="575" spans="1:10" ht="26.4" x14ac:dyDescent="0.25">
      <c r="A575" s="39" t="s">
        <v>465</v>
      </c>
      <c r="B575" s="16" t="s">
        <v>365</v>
      </c>
      <c r="C575" s="16" t="s">
        <v>21</v>
      </c>
      <c r="D575" s="17" t="s">
        <v>366</v>
      </c>
      <c r="E575" s="16" t="s">
        <v>66</v>
      </c>
      <c r="F575" s="27">
        <v>13.88</v>
      </c>
      <c r="G575" s="67">
        <v>25.6</v>
      </c>
      <c r="H575" s="67">
        <v>30.87</v>
      </c>
      <c r="I575" s="18">
        <v>428.47</v>
      </c>
      <c r="J575" s="40">
        <v>2.447964139285582E-5</v>
      </c>
    </row>
    <row r="576" spans="1:10" x14ac:dyDescent="0.25">
      <c r="A576" s="43" t="s">
        <v>24</v>
      </c>
      <c r="B576" s="83"/>
      <c r="C576" s="83"/>
      <c r="D576" s="84" t="s">
        <v>3</v>
      </c>
      <c r="E576" s="85" t="s">
        <v>25</v>
      </c>
      <c r="F576" s="85"/>
      <c r="G576" s="85"/>
      <c r="H576" s="86"/>
      <c r="I576" s="87" t="s">
        <v>1911</v>
      </c>
      <c r="J576" s="44"/>
    </row>
    <row r="577" spans="1:10" ht="26.4" x14ac:dyDescent="0.25">
      <c r="A577" s="51"/>
      <c r="B577" s="83"/>
      <c r="C577" s="83"/>
      <c r="D577" s="84" t="s">
        <v>31</v>
      </c>
      <c r="E577" s="85">
        <f>69.4*0.2</f>
        <v>13.880000000000003</v>
      </c>
      <c r="F577" s="85"/>
      <c r="G577" s="85"/>
      <c r="H577" s="85"/>
      <c r="I577" s="88">
        <v>13.88</v>
      </c>
      <c r="J577" s="44" t="s">
        <v>27</v>
      </c>
    </row>
    <row r="578" spans="1:10" ht="39.6" x14ac:dyDescent="0.25">
      <c r="A578" s="39" t="s">
        <v>466</v>
      </c>
      <c r="B578" s="16" t="s">
        <v>407</v>
      </c>
      <c r="C578" s="16" t="s">
        <v>21</v>
      </c>
      <c r="D578" s="17" t="s">
        <v>408</v>
      </c>
      <c r="E578" s="16" t="s">
        <v>66</v>
      </c>
      <c r="F578" s="27">
        <v>3.47</v>
      </c>
      <c r="G578" s="67">
        <v>408.55</v>
      </c>
      <c r="H578" s="67">
        <v>492.71</v>
      </c>
      <c r="I578" s="18">
        <v>1709.7</v>
      </c>
      <c r="J578" s="40">
        <v>9.7679750949577788E-5</v>
      </c>
    </row>
    <row r="579" spans="1:10" x14ac:dyDescent="0.25">
      <c r="A579" s="43" t="s">
        <v>24</v>
      </c>
      <c r="B579" s="83"/>
      <c r="C579" s="83"/>
      <c r="D579" s="84" t="s">
        <v>3</v>
      </c>
      <c r="E579" s="85" t="s">
        <v>25</v>
      </c>
      <c r="F579" s="85"/>
      <c r="G579" s="85"/>
      <c r="H579" s="86"/>
      <c r="I579" s="87" t="s">
        <v>1911</v>
      </c>
      <c r="J579" s="44"/>
    </row>
    <row r="580" spans="1:10" ht="26.4" x14ac:dyDescent="0.25">
      <c r="A580" s="51"/>
      <c r="B580" s="83"/>
      <c r="C580" s="83"/>
      <c r="D580" s="84" t="s">
        <v>31</v>
      </c>
      <c r="E580" s="85">
        <f>69.4*0.05</f>
        <v>3.4700000000000006</v>
      </c>
      <c r="F580" s="85"/>
      <c r="G580" s="85"/>
      <c r="H580" s="85"/>
      <c r="I580" s="88">
        <v>3.47</v>
      </c>
      <c r="J580" s="44" t="s">
        <v>27</v>
      </c>
    </row>
    <row r="581" spans="1:10" x14ac:dyDescent="0.25">
      <c r="A581" s="39" t="s">
        <v>467</v>
      </c>
      <c r="B581" s="16" t="s">
        <v>160</v>
      </c>
      <c r="C581" s="16" t="s">
        <v>21</v>
      </c>
      <c r="D581" s="17" t="s">
        <v>161</v>
      </c>
      <c r="E581" s="16" t="s">
        <v>89</v>
      </c>
      <c r="F581" s="27">
        <v>10.5</v>
      </c>
      <c r="G581" s="67">
        <v>9.4600000000000009</v>
      </c>
      <c r="H581" s="67">
        <v>11.4</v>
      </c>
      <c r="I581" s="18">
        <v>119.7</v>
      </c>
      <c r="J581" s="40">
        <v>6.8387823528481375E-6</v>
      </c>
    </row>
    <row r="582" spans="1:10" x14ac:dyDescent="0.25">
      <c r="A582" s="43" t="s">
        <v>24</v>
      </c>
      <c r="B582" s="83"/>
      <c r="C582" s="83"/>
      <c r="D582" s="84" t="s">
        <v>3</v>
      </c>
      <c r="E582" s="85" t="s">
        <v>25</v>
      </c>
      <c r="F582" s="85"/>
      <c r="G582" s="85"/>
      <c r="H582" s="86"/>
      <c r="I582" s="87" t="s">
        <v>1911</v>
      </c>
      <c r="J582" s="44"/>
    </row>
    <row r="583" spans="1:10" ht="26.4" x14ac:dyDescent="0.25">
      <c r="A583" s="51"/>
      <c r="B583" s="83"/>
      <c r="C583" s="83"/>
      <c r="D583" s="84" t="s">
        <v>31</v>
      </c>
      <c r="E583" s="85">
        <f>10.5</f>
        <v>10.5</v>
      </c>
      <c r="F583" s="85"/>
      <c r="G583" s="85"/>
      <c r="H583" s="85"/>
      <c r="I583" s="88">
        <v>10.5</v>
      </c>
      <c r="J583" s="44" t="s">
        <v>27</v>
      </c>
    </row>
    <row r="584" spans="1:10" x14ac:dyDescent="0.25">
      <c r="A584" s="39" t="s">
        <v>468</v>
      </c>
      <c r="B584" s="16" t="s">
        <v>166</v>
      </c>
      <c r="C584" s="16" t="s">
        <v>21</v>
      </c>
      <c r="D584" s="17" t="s">
        <v>167</v>
      </c>
      <c r="E584" s="16" t="s">
        <v>89</v>
      </c>
      <c r="F584" s="27">
        <v>330.5</v>
      </c>
      <c r="G584" s="67">
        <v>9.51</v>
      </c>
      <c r="H584" s="67">
        <v>11.46</v>
      </c>
      <c r="I584" s="18">
        <v>3787.53</v>
      </c>
      <c r="J584" s="40">
        <v>2.1639175710010784E-4</v>
      </c>
    </row>
    <row r="585" spans="1:10" x14ac:dyDescent="0.25">
      <c r="A585" s="43" t="s">
        <v>24</v>
      </c>
      <c r="B585" s="83"/>
      <c r="C585" s="83"/>
      <c r="D585" s="84" t="s">
        <v>3</v>
      </c>
      <c r="E585" s="85" t="s">
        <v>25</v>
      </c>
      <c r="F585" s="85"/>
      <c r="G585" s="85"/>
      <c r="H585" s="86"/>
      <c r="I585" s="87" t="s">
        <v>1911</v>
      </c>
      <c r="J585" s="44"/>
    </row>
    <row r="586" spans="1:10" ht="26.4" x14ac:dyDescent="0.25">
      <c r="A586" s="51"/>
      <c r="B586" s="83"/>
      <c r="C586" s="83"/>
      <c r="D586" s="84" t="s">
        <v>31</v>
      </c>
      <c r="E586" s="85">
        <f>330.5</f>
        <v>330.5</v>
      </c>
      <c r="F586" s="85"/>
      <c r="G586" s="85"/>
      <c r="H586" s="85"/>
      <c r="I586" s="88">
        <v>330.5</v>
      </c>
      <c r="J586" s="44" t="s">
        <v>27</v>
      </c>
    </row>
    <row r="587" spans="1:10" x14ac:dyDescent="0.25">
      <c r="A587" s="39" t="s">
        <v>469</v>
      </c>
      <c r="B587" s="16" t="s">
        <v>163</v>
      </c>
      <c r="C587" s="16" t="s">
        <v>21</v>
      </c>
      <c r="D587" s="17" t="s">
        <v>164</v>
      </c>
      <c r="E587" s="16" t="s">
        <v>89</v>
      </c>
      <c r="F587" s="27">
        <v>151</v>
      </c>
      <c r="G587" s="67">
        <v>9.56</v>
      </c>
      <c r="H587" s="67">
        <v>11.52</v>
      </c>
      <c r="I587" s="18">
        <v>1739.52</v>
      </c>
      <c r="J587" s="40">
        <v>9.9383447605901353E-5</v>
      </c>
    </row>
    <row r="588" spans="1:10" x14ac:dyDescent="0.25">
      <c r="A588" s="43" t="s">
        <v>24</v>
      </c>
      <c r="B588" s="83"/>
      <c r="C588" s="83"/>
      <c r="D588" s="84" t="s">
        <v>3</v>
      </c>
      <c r="E588" s="85" t="s">
        <v>25</v>
      </c>
      <c r="F588" s="85"/>
      <c r="G588" s="85"/>
      <c r="H588" s="86"/>
      <c r="I588" s="87" t="s">
        <v>1911</v>
      </c>
      <c r="J588" s="44"/>
    </row>
    <row r="589" spans="1:10" ht="26.4" x14ac:dyDescent="0.25">
      <c r="A589" s="51"/>
      <c r="B589" s="83"/>
      <c r="C589" s="83"/>
      <c r="D589" s="84" t="s">
        <v>31</v>
      </c>
      <c r="E589" s="85">
        <f>151</f>
        <v>151</v>
      </c>
      <c r="F589" s="85"/>
      <c r="G589" s="85"/>
      <c r="H589" s="85"/>
      <c r="I589" s="88">
        <v>151</v>
      </c>
      <c r="J589" s="44" t="s">
        <v>27</v>
      </c>
    </row>
    <row r="590" spans="1:10" x14ac:dyDescent="0.25">
      <c r="A590" s="39" t="s">
        <v>470</v>
      </c>
      <c r="B590" s="16" t="s">
        <v>169</v>
      </c>
      <c r="C590" s="16" t="s">
        <v>21</v>
      </c>
      <c r="D590" s="17" t="s">
        <v>170</v>
      </c>
      <c r="E590" s="16" t="s">
        <v>89</v>
      </c>
      <c r="F590" s="27">
        <v>137.5</v>
      </c>
      <c r="G590" s="67">
        <v>8.7799999999999994</v>
      </c>
      <c r="H590" s="67">
        <v>10.58</v>
      </c>
      <c r="I590" s="18">
        <v>1454.75</v>
      </c>
      <c r="J590" s="40">
        <v>8.3113772997542429E-5</v>
      </c>
    </row>
    <row r="591" spans="1:10" x14ac:dyDescent="0.25">
      <c r="A591" s="43" t="s">
        <v>24</v>
      </c>
      <c r="B591" s="83"/>
      <c r="C591" s="83"/>
      <c r="D591" s="84" t="s">
        <v>3</v>
      </c>
      <c r="E591" s="85" t="s">
        <v>25</v>
      </c>
      <c r="F591" s="85"/>
      <c r="G591" s="85"/>
      <c r="H591" s="86"/>
      <c r="I591" s="87" t="s">
        <v>1911</v>
      </c>
      <c r="J591" s="44"/>
    </row>
    <row r="592" spans="1:10" ht="26.4" x14ac:dyDescent="0.25">
      <c r="A592" s="51"/>
      <c r="B592" s="83"/>
      <c r="C592" s="83"/>
      <c r="D592" s="84" t="s">
        <v>31</v>
      </c>
      <c r="E592" s="85">
        <f>137.5</f>
        <v>137.5</v>
      </c>
      <c r="F592" s="85"/>
      <c r="G592" s="85"/>
      <c r="H592" s="85"/>
      <c r="I592" s="88">
        <v>137.5</v>
      </c>
      <c r="J592" s="44" t="s">
        <v>27</v>
      </c>
    </row>
    <row r="593" spans="1:10" x14ac:dyDescent="0.25">
      <c r="A593" s="39" t="s">
        <v>471</v>
      </c>
      <c r="B593" s="16" t="s">
        <v>292</v>
      </c>
      <c r="C593" s="16" t="s">
        <v>21</v>
      </c>
      <c r="D593" s="17" t="s">
        <v>293</v>
      </c>
      <c r="E593" s="16" t="s">
        <v>89</v>
      </c>
      <c r="F593" s="27">
        <v>127.9</v>
      </c>
      <c r="G593" s="67">
        <v>7.53</v>
      </c>
      <c r="H593" s="67">
        <v>9.08</v>
      </c>
      <c r="I593" s="18">
        <v>1161.33</v>
      </c>
      <c r="J593" s="40">
        <v>6.6349900666943422E-5</v>
      </c>
    </row>
    <row r="594" spans="1:10" x14ac:dyDescent="0.25">
      <c r="A594" s="43" t="s">
        <v>24</v>
      </c>
      <c r="B594" s="83"/>
      <c r="C594" s="83"/>
      <c r="D594" s="84" t="s">
        <v>3</v>
      </c>
      <c r="E594" s="85" t="s">
        <v>25</v>
      </c>
      <c r="F594" s="85"/>
      <c r="G594" s="85"/>
      <c r="H594" s="86"/>
      <c r="I594" s="87" t="s">
        <v>1911</v>
      </c>
      <c r="J594" s="44"/>
    </row>
    <row r="595" spans="1:10" ht="26.4" x14ac:dyDescent="0.25">
      <c r="A595" s="51"/>
      <c r="B595" s="83"/>
      <c r="C595" s="83"/>
      <c r="D595" s="84" t="s">
        <v>31</v>
      </c>
      <c r="E595" s="85">
        <f>127.9</f>
        <v>127.9</v>
      </c>
      <c r="F595" s="85"/>
      <c r="G595" s="85"/>
      <c r="H595" s="85"/>
      <c r="I595" s="88">
        <v>127.9</v>
      </c>
      <c r="J595" s="44" t="s">
        <v>27</v>
      </c>
    </row>
    <row r="596" spans="1:10" ht="26.4" x14ac:dyDescent="0.25">
      <c r="A596" s="39" t="s">
        <v>472</v>
      </c>
      <c r="B596" s="16" t="s">
        <v>172</v>
      </c>
      <c r="C596" s="16" t="s">
        <v>21</v>
      </c>
      <c r="D596" s="17" t="s">
        <v>173</v>
      </c>
      <c r="E596" s="16" t="s">
        <v>23</v>
      </c>
      <c r="F596" s="27">
        <v>19.239999999999998</v>
      </c>
      <c r="G596" s="67">
        <v>180.25</v>
      </c>
      <c r="H596" s="67">
        <v>217.38</v>
      </c>
      <c r="I596" s="18">
        <v>4182.3900000000003</v>
      </c>
      <c r="J596" s="40">
        <v>2.3895116896180887E-4</v>
      </c>
    </row>
    <row r="597" spans="1:10" x14ac:dyDescent="0.25">
      <c r="A597" s="43" t="s">
        <v>24</v>
      </c>
      <c r="B597" s="83"/>
      <c r="C597" s="83"/>
      <c r="D597" s="84" t="s">
        <v>3</v>
      </c>
      <c r="E597" s="85" t="s">
        <v>25</v>
      </c>
      <c r="F597" s="85"/>
      <c r="G597" s="85"/>
      <c r="H597" s="86"/>
      <c r="I597" s="87" t="s">
        <v>1911</v>
      </c>
      <c r="J597" s="44"/>
    </row>
    <row r="598" spans="1:10" ht="26.4" x14ac:dyDescent="0.25">
      <c r="A598" s="51"/>
      <c r="B598" s="83"/>
      <c r="C598" s="83"/>
      <c r="D598" s="84" t="s">
        <v>31</v>
      </c>
      <c r="E598" s="85">
        <f>19.24</f>
        <v>19.239999999999998</v>
      </c>
      <c r="F598" s="85"/>
      <c r="G598" s="85"/>
      <c r="H598" s="85"/>
      <c r="I598" s="88">
        <v>19.239999999999998</v>
      </c>
      <c r="J598" s="44" t="s">
        <v>27</v>
      </c>
    </row>
    <row r="599" spans="1:10" ht="26.4" x14ac:dyDescent="0.25">
      <c r="A599" s="39" t="s">
        <v>473</v>
      </c>
      <c r="B599" s="16" t="s">
        <v>378</v>
      </c>
      <c r="C599" s="16" t="s">
        <v>21</v>
      </c>
      <c r="D599" s="17" t="s">
        <v>379</v>
      </c>
      <c r="E599" s="16" t="s">
        <v>23</v>
      </c>
      <c r="F599" s="27">
        <v>60.24</v>
      </c>
      <c r="G599" s="67">
        <v>2.35</v>
      </c>
      <c r="H599" s="67">
        <v>2.83</v>
      </c>
      <c r="I599" s="18">
        <v>170.47</v>
      </c>
      <c r="J599" s="40">
        <v>9.7394087526317628E-6</v>
      </c>
    </row>
    <row r="600" spans="1:10" x14ac:dyDescent="0.25">
      <c r="A600" s="43" t="s">
        <v>24</v>
      </c>
      <c r="B600" s="83"/>
      <c r="C600" s="83"/>
      <c r="D600" s="84" t="s">
        <v>3</v>
      </c>
      <c r="E600" s="85" t="s">
        <v>25</v>
      </c>
      <c r="F600" s="85"/>
      <c r="G600" s="85"/>
      <c r="H600" s="86"/>
      <c r="I600" s="87" t="s">
        <v>1911</v>
      </c>
      <c r="J600" s="44"/>
    </row>
    <row r="601" spans="1:10" ht="26.4" x14ac:dyDescent="0.25">
      <c r="A601" s="51"/>
      <c r="B601" s="83"/>
      <c r="C601" s="83"/>
      <c r="D601" s="84" t="s">
        <v>31</v>
      </c>
      <c r="E601" s="85">
        <f>60.24</f>
        <v>60.24</v>
      </c>
      <c r="F601" s="85"/>
      <c r="G601" s="85"/>
      <c r="H601" s="85"/>
      <c r="I601" s="88">
        <v>60.24</v>
      </c>
      <c r="J601" s="44" t="s">
        <v>27</v>
      </c>
    </row>
    <row r="602" spans="1:10" ht="26.4" customHeight="1" x14ac:dyDescent="0.25">
      <c r="A602" s="39" t="s">
        <v>474</v>
      </c>
      <c r="B602" s="16" t="s">
        <v>371</v>
      </c>
      <c r="C602" s="16" t="s">
        <v>21</v>
      </c>
      <c r="D602" s="17" t="s">
        <v>372</v>
      </c>
      <c r="E602" s="16" t="s">
        <v>66</v>
      </c>
      <c r="F602" s="27">
        <v>6.024</v>
      </c>
      <c r="G602" s="67">
        <v>175.16</v>
      </c>
      <c r="H602" s="67">
        <v>211.24</v>
      </c>
      <c r="I602" s="18">
        <v>1272.5</v>
      </c>
      <c r="J602" s="40">
        <v>7.2701341219709735E-5</v>
      </c>
    </row>
    <row r="603" spans="1:10" x14ac:dyDescent="0.25">
      <c r="A603" s="43" t="s">
        <v>24</v>
      </c>
      <c r="B603" s="83"/>
      <c r="C603" s="83"/>
      <c r="D603" s="84" t="s">
        <v>3</v>
      </c>
      <c r="E603" s="85" t="s">
        <v>25</v>
      </c>
      <c r="F603" s="85"/>
      <c r="G603" s="85"/>
      <c r="H603" s="86"/>
      <c r="I603" s="87" t="s">
        <v>1911</v>
      </c>
      <c r="J603" s="44"/>
    </row>
    <row r="604" spans="1:10" ht="26.4" x14ac:dyDescent="0.25">
      <c r="A604" s="51"/>
      <c r="B604" s="83"/>
      <c r="C604" s="83"/>
      <c r="D604" s="84" t="s">
        <v>31</v>
      </c>
      <c r="E604" s="85">
        <f>60.24*0.1</f>
        <v>6.0240000000000009</v>
      </c>
      <c r="F604" s="85"/>
      <c r="G604" s="85"/>
      <c r="H604" s="85"/>
      <c r="I604" s="88">
        <v>6.024</v>
      </c>
      <c r="J604" s="44" t="s">
        <v>27</v>
      </c>
    </row>
    <row r="605" spans="1:10" ht="26.4" x14ac:dyDescent="0.25">
      <c r="A605" s="39" t="s">
        <v>1920</v>
      </c>
      <c r="B605" s="16" t="s">
        <v>381</v>
      </c>
      <c r="C605" s="16" t="s">
        <v>21</v>
      </c>
      <c r="D605" s="17" t="s">
        <v>382</v>
      </c>
      <c r="E605" s="16" t="s">
        <v>89</v>
      </c>
      <c r="F605" s="27">
        <v>187.34639999999999</v>
      </c>
      <c r="G605" s="67">
        <v>13.13</v>
      </c>
      <c r="H605" s="67">
        <v>15.83</v>
      </c>
      <c r="I605" s="18">
        <v>2965.69</v>
      </c>
      <c r="J605" s="40">
        <v>1.6943783154568247E-4</v>
      </c>
    </row>
    <row r="606" spans="1:10" x14ac:dyDescent="0.25">
      <c r="A606" s="43" t="s">
        <v>24</v>
      </c>
      <c r="B606" s="83"/>
      <c r="C606" s="83"/>
      <c r="D606" s="84" t="s">
        <v>3</v>
      </c>
      <c r="E606" s="85" t="s">
        <v>25</v>
      </c>
      <c r="F606" s="85"/>
      <c r="G606" s="85"/>
      <c r="H606" s="86"/>
      <c r="I606" s="87" t="s">
        <v>1911</v>
      </c>
      <c r="J606" s="44"/>
    </row>
    <row r="607" spans="1:10" ht="26.4" x14ac:dyDescent="0.25">
      <c r="A607" s="51"/>
      <c r="B607" s="83"/>
      <c r="C607" s="83"/>
      <c r="D607" s="84" t="s">
        <v>31</v>
      </c>
      <c r="E607" s="85">
        <f>60.24*3.11</f>
        <v>187.34639999999999</v>
      </c>
      <c r="F607" s="85"/>
      <c r="G607" s="85"/>
      <c r="H607" s="85"/>
      <c r="I607" s="88">
        <v>187.34639999999999</v>
      </c>
      <c r="J607" s="44" t="s">
        <v>27</v>
      </c>
    </row>
    <row r="608" spans="1:10" ht="39.6" x14ac:dyDescent="0.25">
      <c r="A608" s="39" t="s">
        <v>1921</v>
      </c>
      <c r="B608" s="16" t="s">
        <v>178</v>
      </c>
      <c r="C608" s="16" t="s">
        <v>21</v>
      </c>
      <c r="D608" s="17" t="s">
        <v>179</v>
      </c>
      <c r="E608" s="16" t="s">
        <v>66</v>
      </c>
      <c r="F608" s="27">
        <v>17.34</v>
      </c>
      <c r="G608" s="67">
        <v>509.09</v>
      </c>
      <c r="H608" s="67">
        <v>613.96</v>
      </c>
      <c r="I608" s="18">
        <v>10646.06</v>
      </c>
      <c r="J608" s="40">
        <v>6.082379887666035E-4</v>
      </c>
    </row>
    <row r="609" spans="1:10" x14ac:dyDescent="0.25">
      <c r="A609" s="43" t="s">
        <v>24</v>
      </c>
      <c r="B609" s="83"/>
      <c r="C609" s="83"/>
      <c r="D609" s="84" t="s">
        <v>3</v>
      </c>
      <c r="E609" s="85" t="s">
        <v>25</v>
      </c>
      <c r="F609" s="85"/>
      <c r="G609" s="85"/>
      <c r="H609" s="86"/>
      <c r="I609" s="87" t="s">
        <v>1911</v>
      </c>
      <c r="J609" s="44"/>
    </row>
    <row r="610" spans="1:10" ht="26.4" x14ac:dyDescent="0.25">
      <c r="A610" s="51"/>
      <c r="B610" s="83"/>
      <c r="C610" s="83"/>
      <c r="D610" s="84" t="s">
        <v>31</v>
      </c>
      <c r="E610" s="85">
        <f>17.34</f>
        <v>17.34</v>
      </c>
      <c r="F610" s="85"/>
      <c r="G610" s="85"/>
      <c r="H610" s="85"/>
      <c r="I610" s="88">
        <v>17.34</v>
      </c>
      <c r="J610" s="44" t="s">
        <v>27</v>
      </c>
    </row>
    <row r="611" spans="1:10" ht="26.4" x14ac:dyDescent="0.25">
      <c r="A611" s="39" t="s">
        <v>1922</v>
      </c>
      <c r="B611" s="16" t="s">
        <v>476</v>
      </c>
      <c r="C611" s="16" t="s">
        <v>21</v>
      </c>
      <c r="D611" s="17" t="s">
        <v>477</v>
      </c>
      <c r="E611" s="16" t="s">
        <v>23</v>
      </c>
      <c r="F611" s="27">
        <v>90.7</v>
      </c>
      <c r="G611" s="67">
        <v>113.04</v>
      </c>
      <c r="H611" s="67">
        <v>136.32</v>
      </c>
      <c r="I611" s="18">
        <v>12364.22</v>
      </c>
      <c r="J611" s="40">
        <v>7.0640108222833748E-4</v>
      </c>
    </row>
    <row r="612" spans="1:10" x14ac:dyDescent="0.25">
      <c r="A612" s="43" t="s">
        <v>24</v>
      </c>
      <c r="B612" s="83"/>
      <c r="C612" s="83"/>
      <c r="D612" s="84" t="s">
        <v>3</v>
      </c>
      <c r="E612" s="85" t="s">
        <v>25</v>
      </c>
      <c r="F612" s="85"/>
      <c r="G612" s="85"/>
      <c r="H612" s="86"/>
      <c r="I612" s="87" t="s">
        <v>1911</v>
      </c>
      <c r="J612" s="44"/>
    </row>
    <row r="613" spans="1:10" ht="26.4" x14ac:dyDescent="0.25">
      <c r="A613" s="51"/>
      <c r="B613" s="83"/>
      <c r="C613" s="83"/>
      <c r="D613" s="84" t="s">
        <v>31</v>
      </c>
      <c r="E613" s="85">
        <f>90.7</f>
        <v>90.7</v>
      </c>
      <c r="F613" s="85"/>
      <c r="G613" s="85"/>
      <c r="H613" s="85"/>
      <c r="I613" s="88">
        <v>90.7</v>
      </c>
      <c r="J613" s="44" t="s">
        <v>27</v>
      </c>
    </row>
    <row r="614" spans="1:10" ht="26.4" x14ac:dyDescent="0.25">
      <c r="A614" s="39" t="s">
        <v>1923</v>
      </c>
      <c r="B614" s="16" t="s">
        <v>459</v>
      </c>
      <c r="C614" s="16" t="s">
        <v>21</v>
      </c>
      <c r="D614" s="17" t="s">
        <v>460</v>
      </c>
      <c r="E614" s="16" t="s">
        <v>23</v>
      </c>
      <c r="F614" s="27">
        <v>60.24</v>
      </c>
      <c r="G614" s="67">
        <v>30.64</v>
      </c>
      <c r="H614" s="67">
        <v>36.950000000000003</v>
      </c>
      <c r="I614" s="18">
        <v>2225.86</v>
      </c>
      <c r="J614" s="40">
        <v>1.2716935745957022E-4</v>
      </c>
    </row>
    <row r="615" spans="1:10" x14ac:dyDescent="0.25">
      <c r="A615" s="43" t="s">
        <v>24</v>
      </c>
      <c r="B615" s="83"/>
      <c r="C615" s="83"/>
      <c r="D615" s="84" t="s">
        <v>3</v>
      </c>
      <c r="E615" s="85" t="s">
        <v>25</v>
      </c>
      <c r="F615" s="85"/>
      <c r="G615" s="85"/>
      <c r="H615" s="86"/>
      <c r="I615" s="87" t="s">
        <v>1911</v>
      </c>
      <c r="J615" s="44"/>
    </row>
    <row r="616" spans="1:10" ht="26.4" x14ac:dyDescent="0.25">
      <c r="A616" s="51"/>
      <c r="B616" s="83"/>
      <c r="C616" s="83"/>
      <c r="D616" s="84" t="s">
        <v>31</v>
      </c>
      <c r="E616" s="85">
        <f>60.24</f>
        <v>60.24</v>
      </c>
      <c r="F616" s="85"/>
      <c r="G616" s="85"/>
      <c r="H616" s="85"/>
      <c r="I616" s="88">
        <v>60.24</v>
      </c>
      <c r="J616" s="44" t="s">
        <v>27</v>
      </c>
    </row>
    <row r="617" spans="1:10" x14ac:dyDescent="0.25">
      <c r="A617" s="41" t="s">
        <v>478</v>
      </c>
      <c r="B617" s="13"/>
      <c r="C617" s="13"/>
      <c r="D617" s="14" t="s">
        <v>479</v>
      </c>
      <c r="E617" s="14"/>
      <c r="F617" s="26">
        <v>1</v>
      </c>
      <c r="G617" s="66"/>
      <c r="H617" s="66"/>
      <c r="I617" s="15">
        <v>1902740.95</v>
      </c>
      <c r="J617" s="42">
        <v>0.10870869867085631</v>
      </c>
    </row>
    <row r="618" spans="1:10" ht="52.8" x14ac:dyDescent="0.25">
      <c r="A618" s="39" t="s">
        <v>480</v>
      </c>
      <c r="B618" s="16" t="s">
        <v>481</v>
      </c>
      <c r="C618" s="16" t="s">
        <v>21</v>
      </c>
      <c r="D618" s="17" t="s">
        <v>482</v>
      </c>
      <c r="E618" s="16" t="s">
        <v>89</v>
      </c>
      <c r="F618" s="27">
        <v>33870</v>
      </c>
      <c r="G618" s="67">
        <v>14.03</v>
      </c>
      <c r="H618" s="67">
        <v>16.920000000000002</v>
      </c>
      <c r="I618" s="18">
        <v>573080.4</v>
      </c>
      <c r="J618" s="40">
        <v>3.2741621773459913E-2</v>
      </c>
    </row>
    <row r="619" spans="1:10" x14ac:dyDescent="0.25">
      <c r="A619" s="43" t="s">
        <v>24</v>
      </c>
      <c r="B619" s="83"/>
      <c r="C619" s="83"/>
      <c r="D619" s="84" t="s">
        <v>3</v>
      </c>
      <c r="E619" s="85" t="s">
        <v>25</v>
      </c>
      <c r="F619" s="85"/>
      <c r="G619" s="85"/>
      <c r="H619" s="86"/>
      <c r="I619" s="87" t="s">
        <v>1911</v>
      </c>
      <c r="J619" s="44"/>
    </row>
    <row r="620" spans="1:10" x14ac:dyDescent="0.25">
      <c r="A620" s="51"/>
      <c r="B620" s="83"/>
      <c r="C620" s="83"/>
      <c r="D620" s="84" t="s">
        <v>90</v>
      </c>
      <c r="E620" s="85">
        <f>33870</f>
        <v>33870</v>
      </c>
      <c r="F620" s="85"/>
      <c r="G620" s="85"/>
      <c r="H620" s="85"/>
      <c r="I620" s="88">
        <v>33870</v>
      </c>
      <c r="J620" s="44" t="s">
        <v>27</v>
      </c>
    </row>
    <row r="621" spans="1:10" ht="52.8" x14ac:dyDescent="0.25">
      <c r="A621" s="39" t="s">
        <v>483</v>
      </c>
      <c r="B621" s="16" t="s">
        <v>484</v>
      </c>
      <c r="C621" s="16" t="s">
        <v>21</v>
      </c>
      <c r="D621" s="17" t="s">
        <v>485</v>
      </c>
      <c r="E621" s="16" t="s">
        <v>89</v>
      </c>
      <c r="F621" s="27">
        <v>37123</v>
      </c>
      <c r="G621" s="67">
        <v>15.63</v>
      </c>
      <c r="H621" s="67">
        <v>18.84</v>
      </c>
      <c r="I621" s="18">
        <v>699397.32</v>
      </c>
      <c r="J621" s="40">
        <v>3.9958446530035774E-2</v>
      </c>
    </row>
    <row r="622" spans="1:10" x14ac:dyDescent="0.25">
      <c r="A622" s="43" t="s">
        <v>24</v>
      </c>
      <c r="B622" s="83"/>
      <c r="C622" s="83"/>
      <c r="D622" s="84" t="s">
        <v>3</v>
      </c>
      <c r="E622" s="85" t="s">
        <v>25</v>
      </c>
      <c r="F622" s="85"/>
      <c r="G622" s="85"/>
      <c r="H622" s="86"/>
      <c r="I622" s="87" t="s">
        <v>1911</v>
      </c>
      <c r="J622" s="44"/>
    </row>
    <row r="623" spans="1:10" x14ac:dyDescent="0.25">
      <c r="A623" s="51"/>
      <c r="B623" s="83"/>
      <c r="C623" s="83"/>
      <c r="D623" s="84" t="s">
        <v>90</v>
      </c>
      <c r="E623" s="85">
        <f>37123</f>
        <v>37123</v>
      </c>
      <c r="F623" s="85"/>
      <c r="G623" s="85"/>
      <c r="H623" s="85"/>
      <c r="I623" s="88">
        <v>37123</v>
      </c>
      <c r="J623" s="44" t="s">
        <v>27</v>
      </c>
    </row>
    <row r="624" spans="1:10" ht="26.4" x14ac:dyDescent="0.25">
      <c r="A624" s="39" t="s">
        <v>486</v>
      </c>
      <c r="B624" s="16" t="s">
        <v>487</v>
      </c>
      <c r="C624" s="16" t="s">
        <v>21</v>
      </c>
      <c r="D624" s="17" t="s">
        <v>488</v>
      </c>
      <c r="E624" s="16" t="s">
        <v>23</v>
      </c>
      <c r="F624" s="27">
        <v>1336.1</v>
      </c>
      <c r="G624" s="67">
        <v>52.73</v>
      </c>
      <c r="H624" s="67">
        <v>63.59</v>
      </c>
      <c r="I624" s="18">
        <v>84962.59</v>
      </c>
      <c r="J624" s="40">
        <v>4.8541408616898218E-3</v>
      </c>
    </row>
    <row r="625" spans="1:10" x14ac:dyDescent="0.25">
      <c r="A625" s="43" t="s">
        <v>24</v>
      </c>
      <c r="B625" s="83"/>
      <c r="C625" s="83"/>
      <c r="D625" s="84" t="s">
        <v>3</v>
      </c>
      <c r="E625" s="85" t="s">
        <v>25</v>
      </c>
      <c r="F625" s="85"/>
      <c r="G625" s="85"/>
      <c r="H625" s="86"/>
      <c r="I625" s="87" t="s">
        <v>1911</v>
      </c>
      <c r="J625" s="44"/>
    </row>
    <row r="626" spans="1:10" x14ac:dyDescent="0.25">
      <c r="A626" s="51"/>
      <c r="B626" s="83"/>
      <c r="C626" s="83"/>
      <c r="D626" s="84" t="s">
        <v>90</v>
      </c>
      <c r="E626" s="85">
        <f>1336.1</f>
        <v>1336.1</v>
      </c>
      <c r="F626" s="85"/>
      <c r="G626" s="85"/>
      <c r="H626" s="85"/>
      <c r="I626" s="88">
        <v>1336.1</v>
      </c>
      <c r="J626" s="44" t="s">
        <v>27</v>
      </c>
    </row>
    <row r="627" spans="1:10" ht="26.4" x14ac:dyDescent="0.25">
      <c r="A627" s="39" t="s">
        <v>489</v>
      </c>
      <c r="B627" s="16" t="s">
        <v>490</v>
      </c>
      <c r="C627" s="16" t="s">
        <v>56</v>
      </c>
      <c r="D627" s="17" t="s">
        <v>491</v>
      </c>
      <c r="E627" s="16" t="s">
        <v>23</v>
      </c>
      <c r="F627" s="27">
        <v>1336.1</v>
      </c>
      <c r="G627" s="67">
        <v>38.03</v>
      </c>
      <c r="H627" s="67">
        <v>45.86</v>
      </c>
      <c r="I627" s="18">
        <v>61273.54</v>
      </c>
      <c r="J627" s="40">
        <v>3.5007218383336213E-3</v>
      </c>
    </row>
    <row r="628" spans="1:10" x14ac:dyDescent="0.25">
      <c r="A628" s="43" t="s">
        <v>24</v>
      </c>
      <c r="B628" s="83"/>
      <c r="C628" s="83"/>
      <c r="D628" s="84" t="s">
        <v>3</v>
      </c>
      <c r="E628" s="85" t="s">
        <v>25</v>
      </c>
      <c r="F628" s="85"/>
      <c r="G628" s="85"/>
      <c r="H628" s="86"/>
      <c r="I628" s="87" t="s">
        <v>1911</v>
      </c>
      <c r="J628" s="44"/>
    </row>
    <row r="629" spans="1:10" x14ac:dyDescent="0.25">
      <c r="A629" s="51"/>
      <c r="B629" s="83"/>
      <c r="C629" s="83"/>
      <c r="D629" s="84" t="s">
        <v>90</v>
      </c>
      <c r="E629" s="85">
        <f>1336.1</f>
        <v>1336.1</v>
      </c>
      <c r="F629" s="85"/>
      <c r="G629" s="85"/>
      <c r="H629" s="85"/>
      <c r="I629" s="88">
        <v>1336.1</v>
      </c>
      <c r="J629" s="44" t="s">
        <v>27</v>
      </c>
    </row>
    <row r="630" spans="1:10" ht="26.4" x14ac:dyDescent="0.25">
      <c r="A630" s="39" t="s">
        <v>492</v>
      </c>
      <c r="B630" s="16" t="s">
        <v>112</v>
      </c>
      <c r="C630" s="16" t="s">
        <v>21</v>
      </c>
      <c r="D630" s="17" t="s">
        <v>113</v>
      </c>
      <c r="E630" s="16" t="s">
        <v>89</v>
      </c>
      <c r="F630" s="27">
        <v>3802</v>
      </c>
      <c r="G630" s="67">
        <v>11.99</v>
      </c>
      <c r="H630" s="67">
        <v>14.45</v>
      </c>
      <c r="I630" s="18">
        <v>54938.9</v>
      </c>
      <c r="J630" s="40">
        <v>3.1388068488294781E-3</v>
      </c>
    </row>
    <row r="631" spans="1:10" x14ac:dyDescent="0.25">
      <c r="A631" s="43" t="s">
        <v>24</v>
      </c>
      <c r="B631" s="83"/>
      <c r="C631" s="83"/>
      <c r="D631" s="84" t="s">
        <v>3</v>
      </c>
      <c r="E631" s="85" t="s">
        <v>25</v>
      </c>
      <c r="F631" s="85"/>
      <c r="G631" s="85"/>
      <c r="H631" s="86"/>
      <c r="I631" s="87" t="s">
        <v>1911</v>
      </c>
      <c r="J631" s="44"/>
    </row>
    <row r="632" spans="1:10" x14ac:dyDescent="0.25">
      <c r="A632" s="51"/>
      <c r="B632" s="83"/>
      <c r="C632" s="83"/>
      <c r="D632" s="84" t="s">
        <v>90</v>
      </c>
      <c r="E632" s="85">
        <f>3802</f>
        <v>3802</v>
      </c>
      <c r="F632" s="85"/>
      <c r="G632" s="85"/>
      <c r="H632" s="85"/>
      <c r="I632" s="88">
        <v>3802</v>
      </c>
      <c r="J632" s="44" t="s">
        <v>27</v>
      </c>
    </row>
    <row r="633" spans="1:10" ht="26.4" x14ac:dyDescent="0.25">
      <c r="A633" s="39" t="s">
        <v>493</v>
      </c>
      <c r="B633" s="16" t="s">
        <v>115</v>
      </c>
      <c r="C633" s="16" t="s">
        <v>21</v>
      </c>
      <c r="D633" s="17" t="s">
        <v>116</v>
      </c>
      <c r="E633" s="16" t="s">
        <v>89</v>
      </c>
      <c r="F633" s="27">
        <v>3561</v>
      </c>
      <c r="G633" s="67">
        <v>11.28</v>
      </c>
      <c r="H633" s="67">
        <v>13.6</v>
      </c>
      <c r="I633" s="18">
        <v>48429.599999999999</v>
      </c>
      <c r="J633" s="40">
        <v>2.7669130646240112E-3</v>
      </c>
    </row>
    <row r="634" spans="1:10" x14ac:dyDescent="0.25">
      <c r="A634" s="43" t="s">
        <v>24</v>
      </c>
      <c r="B634" s="83"/>
      <c r="C634" s="83"/>
      <c r="D634" s="84" t="s">
        <v>3</v>
      </c>
      <c r="E634" s="85" t="s">
        <v>25</v>
      </c>
      <c r="F634" s="85"/>
      <c r="G634" s="85"/>
      <c r="H634" s="86"/>
      <c r="I634" s="87" t="s">
        <v>1911</v>
      </c>
      <c r="J634" s="44"/>
    </row>
    <row r="635" spans="1:10" x14ac:dyDescent="0.25">
      <c r="A635" s="51"/>
      <c r="B635" s="83"/>
      <c r="C635" s="83"/>
      <c r="D635" s="84" t="s">
        <v>90</v>
      </c>
      <c r="E635" s="85">
        <f>3561</f>
        <v>3561</v>
      </c>
      <c r="F635" s="85"/>
      <c r="G635" s="85"/>
      <c r="H635" s="85"/>
      <c r="I635" s="88">
        <v>3561</v>
      </c>
      <c r="J635" s="44" t="s">
        <v>27</v>
      </c>
    </row>
    <row r="636" spans="1:10" ht="26.4" x14ac:dyDescent="0.25">
      <c r="A636" s="39" t="s">
        <v>494</v>
      </c>
      <c r="B636" s="16" t="s">
        <v>118</v>
      </c>
      <c r="C636" s="16" t="s">
        <v>21</v>
      </c>
      <c r="D636" s="17" t="s">
        <v>119</v>
      </c>
      <c r="E636" s="16" t="s">
        <v>89</v>
      </c>
      <c r="F636" s="27">
        <v>6457</v>
      </c>
      <c r="G636" s="67">
        <v>10.07</v>
      </c>
      <c r="H636" s="67">
        <v>12.14</v>
      </c>
      <c r="I636" s="18">
        <v>78387.98</v>
      </c>
      <c r="J636" s="40">
        <v>4.4785157418497307E-3</v>
      </c>
    </row>
    <row r="637" spans="1:10" x14ac:dyDescent="0.25">
      <c r="A637" s="43" t="s">
        <v>24</v>
      </c>
      <c r="B637" s="83"/>
      <c r="C637" s="83"/>
      <c r="D637" s="84" t="s">
        <v>3</v>
      </c>
      <c r="E637" s="85" t="s">
        <v>25</v>
      </c>
      <c r="F637" s="85"/>
      <c r="G637" s="85"/>
      <c r="H637" s="86"/>
      <c r="I637" s="87" t="s">
        <v>1911</v>
      </c>
      <c r="J637" s="44"/>
    </row>
    <row r="638" spans="1:10" x14ac:dyDescent="0.25">
      <c r="A638" s="51"/>
      <c r="B638" s="83"/>
      <c r="C638" s="83"/>
      <c r="D638" s="84" t="s">
        <v>90</v>
      </c>
      <c r="E638" s="85">
        <f>6457</f>
        <v>6457</v>
      </c>
      <c r="F638" s="85"/>
      <c r="G638" s="85"/>
      <c r="H638" s="85"/>
      <c r="I638" s="88">
        <v>6457</v>
      </c>
      <c r="J638" s="44" t="s">
        <v>27</v>
      </c>
    </row>
    <row r="639" spans="1:10" ht="26.4" x14ac:dyDescent="0.25">
      <c r="A639" s="39" t="s">
        <v>495</v>
      </c>
      <c r="B639" s="16" t="s">
        <v>496</v>
      </c>
      <c r="C639" s="16" t="s">
        <v>21</v>
      </c>
      <c r="D639" s="17" t="s">
        <v>497</v>
      </c>
      <c r="E639" s="16" t="s">
        <v>89</v>
      </c>
      <c r="F639" s="27">
        <v>10158</v>
      </c>
      <c r="G639" s="67">
        <v>8.4499999999999993</v>
      </c>
      <c r="H639" s="67">
        <v>10.19</v>
      </c>
      <c r="I639" s="18">
        <v>103510.02</v>
      </c>
      <c r="J639" s="40">
        <v>5.9138053309854451E-3</v>
      </c>
    </row>
    <row r="640" spans="1:10" x14ac:dyDescent="0.25">
      <c r="A640" s="43" t="s">
        <v>24</v>
      </c>
      <c r="B640" s="83"/>
      <c r="C640" s="83"/>
      <c r="D640" s="84" t="s">
        <v>3</v>
      </c>
      <c r="E640" s="85" t="s">
        <v>25</v>
      </c>
      <c r="F640" s="85"/>
      <c r="G640" s="85"/>
      <c r="H640" s="86"/>
      <c r="I640" s="87" t="s">
        <v>1911</v>
      </c>
      <c r="J640" s="44"/>
    </row>
    <row r="641" spans="1:10" x14ac:dyDescent="0.25">
      <c r="A641" s="51"/>
      <c r="B641" s="83"/>
      <c r="C641" s="83"/>
      <c r="D641" s="84" t="s">
        <v>90</v>
      </c>
      <c r="E641" s="85">
        <f>10158</f>
        <v>10158</v>
      </c>
      <c r="F641" s="85"/>
      <c r="G641" s="85"/>
      <c r="H641" s="85"/>
      <c r="I641" s="88">
        <v>10158</v>
      </c>
      <c r="J641" s="44" t="s">
        <v>27</v>
      </c>
    </row>
    <row r="642" spans="1:10" ht="39.6" x14ac:dyDescent="0.25">
      <c r="A642" s="39" t="s">
        <v>498</v>
      </c>
      <c r="B642" s="16" t="s">
        <v>499</v>
      </c>
      <c r="C642" s="16" t="s">
        <v>21</v>
      </c>
      <c r="D642" s="17" t="s">
        <v>500</v>
      </c>
      <c r="E642" s="16" t="s">
        <v>66</v>
      </c>
      <c r="F642" s="27">
        <v>223.95</v>
      </c>
      <c r="G642" s="67">
        <v>604.41</v>
      </c>
      <c r="H642" s="67">
        <v>728.91</v>
      </c>
      <c r="I642" s="18">
        <v>163239.39000000001</v>
      </c>
      <c r="J642" s="40">
        <v>9.3263045916599386E-3</v>
      </c>
    </row>
    <row r="643" spans="1:10" x14ac:dyDescent="0.25">
      <c r="A643" s="43" t="s">
        <v>24</v>
      </c>
      <c r="B643" s="83"/>
      <c r="C643" s="83"/>
      <c r="D643" s="84" t="s">
        <v>3</v>
      </c>
      <c r="E643" s="85" t="s">
        <v>25</v>
      </c>
      <c r="F643" s="85"/>
      <c r="G643" s="85"/>
      <c r="H643" s="86"/>
      <c r="I643" s="87" t="s">
        <v>1911</v>
      </c>
      <c r="J643" s="44"/>
    </row>
    <row r="644" spans="1:10" x14ac:dyDescent="0.25">
      <c r="A644" s="51"/>
      <c r="B644" s="83"/>
      <c r="C644" s="83"/>
      <c r="D644" s="84" t="s">
        <v>90</v>
      </c>
      <c r="E644" s="85">
        <f>223.95</f>
        <v>223.95</v>
      </c>
      <c r="F644" s="85"/>
      <c r="G644" s="85"/>
      <c r="H644" s="85"/>
      <c r="I644" s="88">
        <v>223.95</v>
      </c>
      <c r="J644" s="44" t="s">
        <v>27</v>
      </c>
    </row>
    <row r="645" spans="1:10" ht="26.4" x14ac:dyDescent="0.25">
      <c r="A645" s="39" t="s">
        <v>501</v>
      </c>
      <c r="B645" s="16" t="s">
        <v>104</v>
      </c>
      <c r="C645" s="16" t="s">
        <v>21</v>
      </c>
      <c r="D645" s="17" t="s">
        <v>105</v>
      </c>
      <c r="E645" s="16" t="s">
        <v>66</v>
      </c>
      <c r="F645" s="27">
        <v>223.95</v>
      </c>
      <c r="G645" s="67">
        <v>38.770000000000003</v>
      </c>
      <c r="H645" s="67">
        <v>46.75</v>
      </c>
      <c r="I645" s="18">
        <v>10469.66</v>
      </c>
      <c r="J645" s="40">
        <v>5.9815978319398527E-4</v>
      </c>
    </row>
    <row r="646" spans="1:10" x14ac:dyDescent="0.25">
      <c r="A646" s="43" t="s">
        <v>24</v>
      </c>
      <c r="B646" s="83"/>
      <c r="C646" s="83"/>
      <c r="D646" s="84" t="s">
        <v>3</v>
      </c>
      <c r="E646" s="85" t="s">
        <v>25</v>
      </c>
      <c r="F646" s="85"/>
      <c r="G646" s="85"/>
      <c r="H646" s="86"/>
      <c r="I646" s="87" t="s">
        <v>1911</v>
      </c>
      <c r="J646" s="44"/>
    </row>
    <row r="647" spans="1:10" x14ac:dyDescent="0.25">
      <c r="A647" s="51"/>
      <c r="B647" s="83"/>
      <c r="C647" s="83"/>
      <c r="D647" s="84" t="s">
        <v>259</v>
      </c>
      <c r="E647" s="85">
        <f>223.95</f>
        <v>223.95</v>
      </c>
      <c r="F647" s="85"/>
      <c r="G647" s="85"/>
      <c r="H647" s="85"/>
      <c r="I647" s="88">
        <v>223.95</v>
      </c>
      <c r="J647" s="44" t="s">
        <v>27</v>
      </c>
    </row>
    <row r="648" spans="1:10" ht="39.6" x14ac:dyDescent="0.25">
      <c r="A648" s="39" t="s">
        <v>502</v>
      </c>
      <c r="B648" s="16" t="s">
        <v>503</v>
      </c>
      <c r="C648" s="16" t="s">
        <v>21</v>
      </c>
      <c r="D648" s="17" t="s">
        <v>504</v>
      </c>
      <c r="E648" s="16" t="s">
        <v>23</v>
      </c>
      <c r="F648" s="27">
        <v>1697.26</v>
      </c>
      <c r="G648" s="67">
        <v>12.24</v>
      </c>
      <c r="H648" s="67">
        <v>14.76</v>
      </c>
      <c r="I648" s="18">
        <v>25051.55</v>
      </c>
      <c r="J648" s="40">
        <v>1.4312623061945929E-3</v>
      </c>
    </row>
    <row r="649" spans="1:10" x14ac:dyDescent="0.25">
      <c r="A649" s="43" t="s">
        <v>24</v>
      </c>
      <c r="B649" s="83"/>
      <c r="C649" s="83"/>
      <c r="D649" s="84" t="s">
        <v>3</v>
      </c>
      <c r="E649" s="85" t="s">
        <v>25</v>
      </c>
      <c r="F649" s="85"/>
      <c r="G649" s="85"/>
      <c r="H649" s="86"/>
      <c r="I649" s="87" t="s">
        <v>1911</v>
      </c>
      <c r="J649" s="44"/>
    </row>
    <row r="650" spans="1:10" x14ac:dyDescent="0.25">
      <c r="A650" s="51"/>
      <c r="B650" s="83"/>
      <c r="C650" s="83"/>
      <c r="D650" s="84" t="s">
        <v>90</v>
      </c>
      <c r="E650" s="85">
        <f>1697.26</f>
        <v>1697.26</v>
      </c>
      <c r="F650" s="85"/>
      <c r="G650" s="85"/>
      <c r="H650" s="85"/>
      <c r="I650" s="88">
        <v>1697.26</v>
      </c>
      <c r="J650" s="44" t="s">
        <v>27</v>
      </c>
    </row>
    <row r="651" spans="1:10" x14ac:dyDescent="0.25">
      <c r="A651" s="41" t="s">
        <v>505</v>
      </c>
      <c r="B651" s="13"/>
      <c r="C651" s="13"/>
      <c r="D651" s="14" t="s">
        <v>506</v>
      </c>
      <c r="E651" s="14"/>
      <c r="F651" s="26">
        <v>1</v>
      </c>
      <c r="G651" s="66"/>
      <c r="H651" s="66"/>
      <c r="I651" s="15">
        <v>2343824.52</v>
      </c>
      <c r="J651" s="42">
        <v>0.13390898718085845</v>
      </c>
    </row>
    <row r="652" spans="1:10" ht="52.8" x14ac:dyDescent="0.25">
      <c r="A652" s="45" t="s">
        <v>507</v>
      </c>
      <c r="B652" s="21" t="s">
        <v>1924</v>
      </c>
      <c r="C652" s="21" t="s">
        <v>14</v>
      </c>
      <c r="D652" s="22" t="s">
        <v>1925</v>
      </c>
      <c r="E652" s="21" t="s">
        <v>138</v>
      </c>
      <c r="F652" s="28">
        <v>3942.63</v>
      </c>
      <c r="G652" s="68">
        <v>412.05</v>
      </c>
      <c r="H652" s="68">
        <v>456.92</v>
      </c>
      <c r="I652" s="23">
        <v>1801466.49</v>
      </c>
      <c r="J652" s="46">
        <v>0.10292261688437156</v>
      </c>
    </row>
    <row r="653" spans="1:10" x14ac:dyDescent="0.25">
      <c r="A653" s="43" t="s">
        <v>24</v>
      </c>
      <c r="B653" s="83"/>
      <c r="C653" s="83"/>
      <c r="D653" s="84" t="s">
        <v>3</v>
      </c>
      <c r="E653" s="85" t="s">
        <v>25</v>
      </c>
      <c r="F653" s="85"/>
      <c r="G653" s="85"/>
      <c r="H653" s="86"/>
      <c r="I653" s="87" t="s">
        <v>1911</v>
      </c>
      <c r="J653" s="44"/>
    </row>
    <row r="654" spans="1:10" ht="26.4" x14ac:dyDescent="0.25">
      <c r="A654" s="51"/>
      <c r="B654" s="83"/>
      <c r="C654" s="83"/>
      <c r="D654" s="84" t="s">
        <v>508</v>
      </c>
      <c r="E654" s="85">
        <f>3942.63</f>
        <v>3942.63</v>
      </c>
      <c r="F654" s="85"/>
      <c r="G654" s="85"/>
      <c r="H654" s="85"/>
      <c r="I654" s="88">
        <v>3942.63</v>
      </c>
      <c r="J654" s="44" t="s">
        <v>27</v>
      </c>
    </row>
    <row r="655" spans="1:10" ht="66" x14ac:dyDescent="0.25">
      <c r="A655" s="39" t="s">
        <v>509</v>
      </c>
      <c r="B655" s="16" t="s">
        <v>1926</v>
      </c>
      <c r="C655" s="16" t="s">
        <v>14</v>
      </c>
      <c r="D655" s="17" t="s">
        <v>1927</v>
      </c>
      <c r="E655" s="16" t="s">
        <v>138</v>
      </c>
      <c r="F655" s="27">
        <v>3942.63</v>
      </c>
      <c r="G655" s="67">
        <v>42.69</v>
      </c>
      <c r="H655" s="67">
        <v>51.48</v>
      </c>
      <c r="I655" s="18">
        <v>202966.59</v>
      </c>
      <c r="J655" s="40">
        <v>1.1596026181368114E-2</v>
      </c>
    </row>
    <row r="656" spans="1:10" x14ac:dyDescent="0.25">
      <c r="A656" s="43" t="s">
        <v>24</v>
      </c>
      <c r="B656" s="83"/>
      <c r="C656" s="83"/>
      <c r="D656" s="84" t="s">
        <v>3</v>
      </c>
      <c r="E656" s="85" t="s">
        <v>25</v>
      </c>
      <c r="F656" s="85"/>
      <c r="G656" s="85"/>
      <c r="H656" s="86"/>
      <c r="I656" s="87" t="s">
        <v>1911</v>
      </c>
      <c r="J656" s="44"/>
    </row>
    <row r="657" spans="1:10" ht="26.4" x14ac:dyDescent="0.25">
      <c r="A657" s="51"/>
      <c r="B657" s="83"/>
      <c r="C657" s="83"/>
      <c r="D657" s="84" t="s">
        <v>508</v>
      </c>
      <c r="E657" s="85">
        <f>3942.63</f>
        <v>3942.63</v>
      </c>
      <c r="F657" s="85"/>
      <c r="G657" s="85"/>
      <c r="H657" s="85"/>
      <c r="I657" s="88">
        <v>3942.63</v>
      </c>
      <c r="J657" s="44" t="s">
        <v>27</v>
      </c>
    </row>
    <row r="658" spans="1:10" x14ac:dyDescent="0.25">
      <c r="A658" s="39" t="s">
        <v>511</v>
      </c>
      <c r="B658" s="16" t="s">
        <v>169</v>
      </c>
      <c r="C658" s="16" t="s">
        <v>21</v>
      </c>
      <c r="D658" s="17" t="s">
        <v>170</v>
      </c>
      <c r="E658" s="16" t="s">
        <v>89</v>
      </c>
      <c r="F658" s="27">
        <v>4139.76</v>
      </c>
      <c r="G658" s="67">
        <v>8.7799999999999994</v>
      </c>
      <c r="H658" s="67">
        <v>10.58</v>
      </c>
      <c r="I658" s="18">
        <v>43798.66</v>
      </c>
      <c r="J658" s="40">
        <v>2.5023350299615338E-3</v>
      </c>
    </row>
    <row r="659" spans="1:10" x14ac:dyDescent="0.25">
      <c r="A659" s="43" t="s">
        <v>24</v>
      </c>
      <c r="B659" s="83"/>
      <c r="C659" s="83"/>
      <c r="D659" s="84" t="s">
        <v>3</v>
      </c>
      <c r="E659" s="85" t="s">
        <v>25</v>
      </c>
      <c r="F659" s="85"/>
      <c r="G659" s="85"/>
      <c r="H659" s="86"/>
      <c r="I659" s="87" t="s">
        <v>1911</v>
      </c>
      <c r="J659" s="44"/>
    </row>
    <row r="660" spans="1:10" ht="26.4" x14ac:dyDescent="0.25">
      <c r="A660" s="51"/>
      <c r="B660" s="83"/>
      <c r="C660" s="83"/>
      <c r="D660" s="84" t="s">
        <v>510</v>
      </c>
      <c r="E660" s="85">
        <f>4139.76</f>
        <v>4139.76</v>
      </c>
      <c r="F660" s="85"/>
      <c r="G660" s="85"/>
      <c r="H660" s="85"/>
      <c r="I660" s="88">
        <v>4139.76</v>
      </c>
      <c r="J660" s="44" t="s">
        <v>27</v>
      </c>
    </row>
    <row r="661" spans="1:10" ht="39.6" x14ac:dyDescent="0.25">
      <c r="A661" s="39" t="s">
        <v>512</v>
      </c>
      <c r="B661" s="16" t="s">
        <v>101</v>
      </c>
      <c r="C661" s="16" t="s">
        <v>21</v>
      </c>
      <c r="D661" s="17" t="s">
        <v>102</v>
      </c>
      <c r="E661" s="16" t="s">
        <v>66</v>
      </c>
      <c r="F661" s="27">
        <v>315.41000000000003</v>
      </c>
      <c r="G661" s="67">
        <v>501.07</v>
      </c>
      <c r="H661" s="67">
        <v>604.29</v>
      </c>
      <c r="I661" s="18">
        <v>190599.1</v>
      </c>
      <c r="J661" s="40">
        <v>1.0889438275260965E-2</v>
      </c>
    </row>
    <row r="662" spans="1:10" x14ac:dyDescent="0.25">
      <c r="A662" s="43" t="s">
        <v>24</v>
      </c>
      <c r="B662" s="83"/>
      <c r="C662" s="83"/>
      <c r="D662" s="84" t="s">
        <v>3</v>
      </c>
      <c r="E662" s="85" t="s">
        <v>25</v>
      </c>
      <c r="F662" s="85"/>
      <c r="G662" s="85"/>
      <c r="H662" s="86"/>
      <c r="I662" s="87" t="s">
        <v>1911</v>
      </c>
      <c r="J662" s="44"/>
    </row>
    <row r="663" spans="1:10" ht="26.4" x14ac:dyDescent="0.25">
      <c r="A663" s="51"/>
      <c r="B663" s="83"/>
      <c r="C663" s="83"/>
      <c r="D663" s="84" t="s">
        <v>508</v>
      </c>
      <c r="E663" s="85">
        <f>315.41</f>
        <v>315.41000000000003</v>
      </c>
      <c r="F663" s="85"/>
      <c r="G663" s="85"/>
      <c r="H663" s="85"/>
      <c r="I663" s="88">
        <v>315.41000000000003</v>
      </c>
      <c r="J663" s="44" t="s">
        <v>27</v>
      </c>
    </row>
    <row r="664" spans="1:10" ht="26.4" x14ac:dyDescent="0.25">
      <c r="A664" s="39" t="s">
        <v>1928</v>
      </c>
      <c r="B664" s="16" t="s">
        <v>257</v>
      </c>
      <c r="C664" s="16" t="s">
        <v>21</v>
      </c>
      <c r="D664" s="17" t="s">
        <v>258</v>
      </c>
      <c r="E664" s="16" t="s">
        <v>66</v>
      </c>
      <c r="F664" s="27">
        <v>315.41000000000003</v>
      </c>
      <c r="G664" s="67">
        <v>276.02</v>
      </c>
      <c r="H664" s="67">
        <v>332.88</v>
      </c>
      <c r="I664" s="18">
        <v>104993.68</v>
      </c>
      <c r="J664" s="40">
        <v>5.9985708098962776E-3</v>
      </c>
    </row>
    <row r="665" spans="1:10" x14ac:dyDescent="0.25">
      <c r="A665" s="43" t="s">
        <v>24</v>
      </c>
      <c r="B665" s="83"/>
      <c r="C665" s="83"/>
      <c r="D665" s="84" t="s">
        <v>3</v>
      </c>
      <c r="E665" s="85" t="s">
        <v>25</v>
      </c>
      <c r="F665" s="85"/>
      <c r="G665" s="85"/>
      <c r="H665" s="86"/>
      <c r="I665" s="87" t="s">
        <v>1911</v>
      </c>
      <c r="J665" s="44"/>
    </row>
    <row r="666" spans="1:10" x14ac:dyDescent="0.25">
      <c r="A666" s="51"/>
      <c r="B666" s="83"/>
      <c r="C666" s="83"/>
      <c r="D666" s="84" t="s">
        <v>259</v>
      </c>
      <c r="E666" s="85">
        <f>315.41</f>
        <v>315.41000000000003</v>
      </c>
      <c r="F666" s="85"/>
      <c r="G666" s="85"/>
      <c r="H666" s="85"/>
      <c r="I666" s="88">
        <v>315.41000000000003</v>
      </c>
      <c r="J666" s="44" t="s">
        <v>27</v>
      </c>
    </row>
    <row r="667" spans="1:10" x14ac:dyDescent="0.25">
      <c r="A667" s="41" t="s">
        <v>513</v>
      </c>
      <c r="B667" s="13"/>
      <c r="C667" s="13"/>
      <c r="D667" s="14" t="s">
        <v>514</v>
      </c>
      <c r="E667" s="14"/>
      <c r="F667" s="26">
        <v>1</v>
      </c>
      <c r="G667" s="66"/>
      <c r="H667" s="66"/>
      <c r="I667" s="15">
        <v>580708.47</v>
      </c>
      <c r="J667" s="42">
        <v>3.3177433891273533E-2</v>
      </c>
    </row>
    <row r="668" spans="1:10" x14ac:dyDescent="0.25">
      <c r="A668" s="41" t="s">
        <v>515</v>
      </c>
      <c r="B668" s="13"/>
      <c r="C668" s="13"/>
      <c r="D668" s="14" t="s">
        <v>516</v>
      </c>
      <c r="E668" s="14"/>
      <c r="F668" s="26">
        <v>1</v>
      </c>
      <c r="G668" s="66"/>
      <c r="H668" s="66"/>
      <c r="I668" s="15">
        <v>61140.959999999999</v>
      </c>
      <c r="J668" s="42">
        <v>3.493147187002455E-3</v>
      </c>
    </row>
    <row r="669" spans="1:10" ht="79.2" x14ac:dyDescent="0.25">
      <c r="A669" s="39" t="s">
        <v>517</v>
      </c>
      <c r="B669" s="16" t="s">
        <v>518</v>
      </c>
      <c r="C669" s="16" t="s">
        <v>14</v>
      </c>
      <c r="D669" s="17" t="s">
        <v>519</v>
      </c>
      <c r="E669" s="16" t="s">
        <v>16</v>
      </c>
      <c r="F669" s="27">
        <v>36</v>
      </c>
      <c r="G669" s="67">
        <v>1025.44</v>
      </c>
      <c r="H669" s="67">
        <v>1236.68</v>
      </c>
      <c r="I669" s="18">
        <v>44520.480000000003</v>
      </c>
      <c r="J669" s="40">
        <v>2.5435745443970633E-3</v>
      </c>
    </row>
    <row r="670" spans="1:10" x14ac:dyDescent="0.25">
      <c r="A670" s="43" t="s">
        <v>24</v>
      </c>
      <c r="B670" s="83"/>
      <c r="C670" s="83"/>
      <c r="D670" s="84" t="s">
        <v>3</v>
      </c>
      <c r="E670" s="85" t="s">
        <v>25</v>
      </c>
      <c r="F670" s="85"/>
      <c r="G670" s="85"/>
      <c r="H670" s="86"/>
      <c r="I670" s="87" t="s">
        <v>1911</v>
      </c>
      <c r="J670" s="44"/>
    </row>
    <row r="671" spans="1:10" ht="26.4" x14ac:dyDescent="0.25">
      <c r="A671" s="51"/>
      <c r="B671" s="83"/>
      <c r="C671" s="83"/>
      <c r="D671" s="84" t="s">
        <v>520</v>
      </c>
      <c r="E671" s="85">
        <f>36</f>
        <v>36</v>
      </c>
      <c r="F671" s="85"/>
      <c r="G671" s="85"/>
      <c r="H671" s="85"/>
      <c r="I671" s="88">
        <v>36</v>
      </c>
      <c r="J671" s="44" t="s">
        <v>27</v>
      </c>
    </row>
    <row r="672" spans="1:10" ht="92.4" x14ac:dyDescent="0.25">
      <c r="A672" s="39" t="s">
        <v>521</v>
      </c>
      <c r="B672" s="16" t="s">
        <v>522</v>
      </c>
      <c r="C672" s="16" t="s">
        <v>14</v>
      </c>
      <c r="D672" s="17" t="s">
        <v>523</v>
      </c>
      <c r="E672" s="16" t="s">
        <v>16</v>
      </c>
      <c r="F672" s="27">
        <v>8</v>
      </c>
      <c r="G672" s="67">
        <v>1133.18</v>
      </c>
      <c r="H672" s="67">
        <v>1366.61</v>
      </c>
      <c r="I672" s="18">
        <v>10932.88</v>
      </c>
      <c r="J672" s="40">
        <v>6.2462478537849916E-4</v>
      </c>
    </row>
    <row r="673" spans="1:10" x14ac:dyDescent="0.25">
      <c r="A673" s="43" t="s">
        <v>24</v>
      </c>
      <c r="B673" s="83"/>
      <c r="C673" s="83"/>
      <c r="D673" s="84" t="s">
        <v>3</v>
      </c>
      <c r="E673" s="85" t="s">
        <v>25</v>
      </c>
      <c r="F673" s="85"/>
      <c r="G673" s="85"/>
      <c r="H673" s="86"/>
      <c r="I673" s="87" t="s">
        <v>1911</v>
      </c>
      <c r="J673" s="44"/>
    </row>
    <row r="674" spans="1:10" ht="26.4" x14ac:dyDescent="0.25">
      <c r="A674" s="51"/>
      <c r="B674" s="83"/>
      <c r="C674" s="83"/>
      <c r="D674" s="84" t="s">
        <v>520</v>
      </c>
      <c r="E674" s="85">
        <f>8</f>
        <v>8</v>
      </c>
      <c r="F674" s="85"/>
      <c r="G674" s="85"/>
      <c r="H674" s="85"/>
      <c r="I674" s="88">
        <v>8</v>
      </c>
      <c r="J674" s="44" t="s">
        <v>27</v>
      </c>
    </row>
    <row r="675" spans="1:10" ht="79.2" x14ac:dyDescent="0.25">
      <c r="A675" s="39" t="s">
        <v>524</v>
      </c>
      <c r="B675" s="16" t="s">
        <v>525</v>
      </c>
      <c r="C675" s="16" t="s">
        <v>14</v>
      </c>
      <c r="D675" s="17" t="s">
        <v>526</v>
      </c>
      <c r="E675" s="16" t="s">
        <v>16</v>
      </c>
      <c r="F675" s="27">
        <v>1</v>
      </c>
      <c r="G675" s="67">
        <v>1116.6600000000001</v>
      </c>
      <c r="H675" s="67">
        <v>1346.69</v>
      </c>
      <c r="I675" s="18">
        <v>1346.69</v>
      </c>
      <c r="J675" s="40">
        <v>7.6940015094043926E-5</v>
      </c>
    </row>
    <row r="676" spans="1:10" x14ac:dyDescent="0.25">
      <c r="A676" s="43" t="s">
        <v>24</v>
      </c>
      <c r="B676" s="83"/>
      <c r="C676" s="83"/>
      <c r="D676" s="84" t="s">
        <v>3</v>
      </c>
      <c r="E676" s="85" t="s">
        <v>25</v>
      </c>
      <c r="F676" s="85"/>
      <c r="G676" s="85"/>
      <c r="H676" s="86"/>
      <c r="I676" s="87" t="s">
        <v>1911</v>
      </c>
      <c r="J676" s="44"/>
    </row>
    <row r="677" spans="1:10" ht="26.4" x14ac:dyDescent="0.25">
      <c r="A677" s="51"/>
      <c r="B677" s="83"/>
      <c r="C677" s="83"/>
      <c r="D677" s="84" t="s">
        <v>520</v>
      </c>
      <c r="E677" s="85">
        <f>1</f>
        <v>1</v>
      </c>
      <c r="F677" s="85"/>
      <c r="G677" s="85"/>
      <c r="H677" s="85"/>
      <c r="I677" s="88">
        <v>1</v>
      </c>
      <c r="J677" s="44" t="s">
        <v>27</v>
      </c>
    </row>
    <row r="678" spans="1:10" ht="79.2" x14ac:dyDescent="0.25">
      <c r="A678" s="39" t="s">
        <v>527</v>
      </c>
      <c r="B678" s="16" t="s">
        <v>528</v>
      </c>
      <c r="C678" s="16" t="s">
        <v>14</v>
      </c>
      <c r="D678" s="17" t="s">
        <v>529</v>
      </c>
      <c r="E678" s="16" t="s">
        <v>16</v>
      </c>
      <c r="F678" s="27">
        <v>3</v>
      </c>
      <c r="G678" s="67">
        <v>1199.81</v>
      </c>
      <c r="H678" s="67">
        <v>1446.97</v>
      </c>
      <c r="I678" s="18">
        <v>4340.91</v>
      </c>
      <c r="J678" s="40">
        <v>2.4800784213284887E-4</v>
      </c>
    </row>
    <row r="679" spans="1:10" x14ac:dyDescent="0.25">
      <c r="A679" s="43" t="s">
        <v>24</v>
      </c>
      <c r="B679" s="83"/>
      <c r="C679" s="83"/>
      <c r="D679" s="84" t="s">
        <v>3</v>
      </c>
      <c r="E679" s="85" t="s">
        <v>25</v>
      </c>
      <c r="F679" s="85"/>
      <c r="G679" s="85"/>
      <c r="H679" s="86"/>
      <c r="I679" s="87" t="s">
        <v>1911</v>
      </c>
      <c r="J679" s="44"/>
    </row>
    <row r="680" spans="1:10" ht="26.4" x14ac:dyDescent="0.25">
      <c r="A680" s="51"/>
      <c r="B680" s="83"/>
      <c r="C680" s="83"/>
      <c r="D680" s="84" t="s">
        <v>520</v>
      </c>
      <c r="E680" s="85">
        <f>3</f>
        <v>3</v>
      </c>
      <c r="F680" s="85"/>
      <c r="G680" s="85"/>
      <c r="H680" s="85"/>
      <c r="I680" s="88">
        <v>3</v>
      </c>
      <c r="J680" s="44" t="s">
        <v>27</v>
      </c>
    </row>
    <row r="681" spans="1:10" x14ac:dyDescent="0.25">
      <c r="A681" s="41" t="s">
        <v>530</v>
      </c>
      <c r="B681" s="13"/>
      <c r="C681" s="13"/>
      <c r="D681" s="14" t="s">
        <v>531</v>
      </c>
      <c r="E681" s="14"/>
      <c r="F681" s="26">
        <v>1</v>
      </c>
      <c r="G681" s="66"/>
      <c r="H681" s="66"/>
      <c r="I681" s="15">
        <v>63147.85</v>
      </c>
      <c r="J681" s="42">
        <v>3.6078062005037701E-3</v>
      </c>
    </row>
    <row r="682" spans="1:10" ht="39.6" x14ac:dyDescent="0.25">
      <c r="A682" s="39" t="s">
        <v>532</v>
      </c>
      <c r="B682" s="16" t="s">
        <v>533</v>
      </c>
      <c r="C682" s="16" t="s">
        <v>21</v>
      </c>
      <c r="D682" s="17" t="s">
        <v>534</v>
      </c>
      <c r="E682" s="16" t="s">
        <v>23</v>
      </c>
      <c r="F682" s="27">
        <v>121.86</v>
      </c>
      <c r="G682" s="67">
        <v>429.69</v>
      </c>
      <c r="H682" s="67">
        <v>518.20000000000005</v>
      </c>
      <c r="I682" s="18">
        <v>63147.85</v>
      </c>
      <c r="J682" s="40">
        <v>3.6078062005037701E-3</v>
      </c>
    </row>
    <row r="683" spans="1:10" x14ac:dyDescent="0.25">
      <c r="A683" s="43" t="s">
        <v>24</v>
      </c>
      <c r="B683" s="83"/>
      <c r="C683" s="83"/>
      <c r="D683" s="84" t="s">
        <v>3</v>
      </c>
      <c r="E683" s="85" t="s">
        <v>25</v>
      </c>
      <c r="F683" s="85"/>
      <c r="G683" s="85"/>
      <c r="H683" s="86"/>
      <c r="I683" s="87" t="s">
        <v>1911</v>
      </c>
      <c r="J683" s="44"/>
    </row>
    <row r="684" spans="1:10" x14ac:dyDescent="0.25">
      <c r="A684" s="51"/>
      <c r="B684" s="83"/>
      <c r="C684" s="83"/>
      <c r="D684" s="84" t="s">
        <v>535</v>
      </c>
      <c r="E684" s="85">
        <f>0.9*2.1*18</f>
        <v>34.020000000000003</v>
      </c>
      <c r="F684" s="85"/>
      <c r="G684" s="85"/>
      <c r="H684" s="85"/>
      <c r="I684" s="88">
        <v>34.020000000000003</v>
      </c>
      <c r="J684" s="44" t="s">
        <v>27</v>
      </c>
    </row>
    <row r="685" spans="1:10" x14ac:dyDescent="0.25">
      <c r="A685" s="51"/>
      <c r="B685" s="83"/>
      <c r="C685" s="83"/>
      <c r="D685" s="84" t="s">
        <v>536</v>
      </c>
      <c r="E685" s="85">
        <f>0.8*1.8*40</f>
        <v>57.600000000000009</v>
      </c>
      <c r="F685" s="85"/>
      <c r="G685" s="85"/>
      <c r="H685" s="85"/>
      <c r="I685" s="88">
        <v>57.6</v>
      </c>
      <c r="J685" s="44" t="s">
        <v>27</v>
      </c>
    </row>
    <row r="686" spans="1:10" x14ac:dyDescent="0.25">
      <c r="A686" s="51"/>
      <c r="B686" s="83"/>
      <c r="C686" s="83"/>
      <c r="D686" s="84" t="s">
        <v>537</v>
      </c>
      <c r="E686" s="85">
        <f>1.6*2.1*2</f>
        <v>6.7200000000000006</v>
      </c>
      <c r="F686" s="85"/>
      <c r="G686" s="85"/>
      <c r="H686" s="85"/>
      <c r="I686" s="88">
        <v>6.72</v>
      </c>
      <c r="J686" s="44" t="s">
        <v>27</v>
      </c>
    </row>
    <row r="687" spans="1:10" x14ac:dyDescent="0.25">
      <c r="A687" s="51"/>
      <c r="B687" s="83"/>
      <c r="C687" s="83"/>
      <c r="D687" s="84" t="s">
        <v>538</v>
      </c>
      <c r="E687" s="85">
        <f>0.8*2.1*5</f>
        <v>8.4</v>
      </c>
      <c r="F687" s="85"/>
      <c r="G687" s="85"/>
      <c r="H687" s="85"/>
      <c r="I687" s="88">
        <v>8.4</v>
      </c>
      <c r="J687" s="44" t="s">
        <v>27</v>
      </c>
    </row>
    <row r="688" spans="1:10" x14ac:dyDescent="0.25">
      <c r="A688" s="51"/>
      <c r="B688" s="83"/>
      <c r="C688" s="83"/>
      <c r="D688" s="84" t="s">
        <v>539</v>
      </c>
      <c r="E688" s="85">
        <f>1.8*2.1*4</f>
        <v>15.120000000000001</v>
      </c>
      <c r="F688" s="85"/>
      <c r="G688" s="85"/>
      <c r="H688" s="85"/>
      <c r="I688" s="88">
        <v>15.12</v>
      </c>
      <c r="J688" s="44" t="s">
        <v>27</v>
      </c>
    </row>
    <row r="689" spans="1:10" x14ac:dyDescent="0.25">
      <c r="A689" s="41" t="s">
        <v>540</v>
      </c>
      <c r="B689" s="13"/>
      <c r="C689" s="13"/>
      <c r="D689" s="14" t="s">
        <v>541</v>
      </c>
      <c r="E689" s="14"/>
      <c r="F689" s="26">
        <v>1</v>
      </c>
      <c r="G689" s="66"/>
      <c r="H689" s="66"/>
      <c r="I689" s="15">
        <v>182182.58</v>
      </c>
      <c r="J689" s="42">
        <v>1.0408579892233451E-2</v>
      </c>
    </row>
    <row r="690" spans="1:10" ht="26.4" x14ac:dyDescent="0.25">
      <c r="A690" s="39" t="s">
        <v>542</v>
      </c>
      <c r="B690" s="16" t="s">
        <v>543</v>
      </c>
      <c r="C690" s="16" t="s">
        <v>56</v>
      </c>
      <c r="D690" s="17" t="s">
        <v>544</v>
      </c>
      <c r="E690" s="16" t="s">
        <v>23</v>
      </c>
      <c r="F690" s="27">
        <v>263.25</v>
      </c>
      <c r="G690" s="67">
        <v>460.78</v>
      </c>
      <c r="H690" s="67">
        <v>555.70000000000005</v>
      </c>
      <c r="I690" s="18">
        <v>146288.01999999999</v>
      </c>
      <c r="J690" s="40">
        <v>8.3578273150300367E-3</v>
      </c>
    </row>
    <row r="691" spans="1:10" x14ac:dyDescent="0.25">
      <c r="A691" s="43" t="s">
        <v>24</v>
      </c>
      <c r="B691" s="83"/>
      <c r="C691" s="83"/>
      <c r="D691" s="84" t="s">
        <v>3</v>
      </c>
      <c r="E691" s="85" t="s">
        <v>25</v>
      </c>
      <c r="F691" s="85"/>
      <c r="G691" s="85"/>
      <c r="H691" s="86"/>
      <c r="I691" s="87" t="s">
        <v>1911</v>
      </c>
      <c r="J691" s="44"/>
    </row>
    <row r="692" spans="1:10" x14ac:dyDescent="0.25">
      <c r="A692" s="51"/>
      <c r="B692" s="83"/>
      <c r="C692" s="83"/>
      <c r="D692" s="84" t="s">
        <v>545</v>
      </c>
      <c r="E692" s="85">
        <f>3.51*75</f>
        <v>263.25</v>
      </c>
      <c r="F692" s="85"/>
      <c r="G692" s="85"/>
      <c r="H692" s="85"/>
      <c r="I692" s="88">
        <v>263.25</v>
      </c>
      <c r="J692" s="44" t="s">
        <v>27</v>
      </c>
    </row>
    <row r="693" spans="1:10" ht="52.8" x14ac:dyDescent="0.25">
      <c r="A693" s="39" t="s">
        <v>546</v>
      </c>
      <c r="B693" s="16" t="s">
        <v>547</v>
      </c>
      <c r="C693" s="16" t="s">
        <v>21</v>
      </c>
      <c r="D693" s="17" t="s">
        <v>548</v>
      </c>
      <c r="E693" s="16" t="s">
        <v>23</v>
      </c>
      <c r="F693" s="27">
        <v>123.2</v>
      </c>
      <c r="G693" s="67">
        <v>202.36</v>
      </c>
      <c r="H693" s="67">
        <v>244.04</v>
      </c>
      <c r="I693" s="18">
        <v>30065.72</v>
      </c>
      <c r="J693" s="40">
        <v>1.7177352995962683E-3</v>
      </c>
    </row>
    <row r="694" spans="1:10" x14ac:dyDescent="0.25">
      <c r="A694" s="43" t="s">
        <v>24</v>
      </c>
      <c r="B694" s="83"/>
      <c r="C694" s="83"/>
      <c r="D694" s="84" t="s">
        <v>3</v>
      </c>
      <c r="E694" s="85" t="s">
        <v>25</v>
      </c>
      <c r="F694" s="85"/>
      <c r="G694" s="85"/>
      <c r="H694" s="86"/>
      <c r="I694" s="87" t="s">
        <v>1911</v>
      </c>
      <c r="J694" s="44"/>
    </row>
    <row r="695" spans="1:10" x14ac:dyDescent="0.25">
      <c r="A695" s="51"/>
      <c r="B695" s="83"/>
      <c r="C695" s="83"/>
      <c r="D695" s="84" t="s">
        <v>549</v>
      </c>
      <c r="E695" s="85">
        <f>1*1</f>
        <v>1</v>
      </c>
      <c r="F695" s="85"/>
      <c r="G695" s="85"/>
      <c r="H695" s="85"/>
      <c r="I695" s="88">
        <v>1</v>
      </c>
      <c r="J695" s="44" t="s">
        <v>27</v>
      </c>
    </row>
    <row r="696" spans="1:10" x14ac:dyDescent="0.25">
      <c r="A696" s="51"/>
      <c r="B696" s="83"/>
      <c r="C696" s="83"/>
      <c r="D696" s="84" t="s">
        <v>550</v>
      </c>
      <c r="E696" s="85">
        <f>6*15</f>
        <v>90</v>
      </c>
      <c r="F696" s="85"/>
      <c r="G696" s="85"/>
      <c r="H696" s="85"/>
      <c r="I696" s="88">
        <v>90</v>
      </c>
      <c r="J696" s="44" t="s">
        <v>27</v>
      </c>
    </row>
    <row r="697" spans="1:10" x14ac:dyDescent="0.25">
      <c r="A697" s="51"/>
      <c r="B697" s="83"/>
      <c r="C697" s="83"/>
      <c r="D697" s="84" t="s">
        <v>551</v>
      </c>
      <c r="E697" s="85">
        <f>0.5*26</f>
        <v>13</v>
      </c>
      <c r="F697" s="85"/>
      <c r="G697" s="85"/>
      <c r="H697" s="85"/>
      <c r="I697" s="88">
        <v>13</v>
      </c>
      <c r="J697" s="44" t="s">
        <v>27</v>
      </c>
    </row>
    <row r="698" spans="1:10" x14ac:dyDescent="0.25">
      <c r="A698" s="51"/>
      <c r="B698" s="83"/>
      <c r="C698" s="83"/>
      <c r="D698" s="84" t="s">
        <v>552</v>
      </c>
      <c r="E698" s="85">
        <f>0.8*24</f>
        <v>19.200000000000003</v>
      </c>
      <c r="F698" s="85"/>
      <c r="G698" s="85"/>
      <c r="H698" s="85"/>
      <c r="I698" s="88">
        <v>19.2</v>
      </c>
      <c r="J698" s="44" t="s">
        <v>27</v>
      </c>
    </row>
    <row r="699" spans="1:10" ht="52.8" x14ac:dyDescent="0.25">
      <c r="A699" s="39" t="s">
        <v>553</v>
      </c>
      <c r="B699" s="16" t="s">
        <v>554</v>
      </c>
      <c r="C699" s="16" t="s">
        <v>21</v>
      </c>
      <c r="D699" s="17" t="s">
        <v>555</v>
      </c>
      <c r="E699" s="16" t="s">
        <v>23</v>
      </c>
      <c r="F699" s="27">
        <v>13</v>
      </c>
      <c r="G699" s="67">
        <v>237.58</v>
      </c>
      <c r="H699" s="67">
        <v>286.52</v>
      </c>
      <c r="I699" s="18">
        <v>3724.76</v>
      </c>
      <c r="J699" s="40">
        <v>2.1280553848449982E-4</v>
      </c>
    </row>
    <row r="700" spans="1:10" x14ac:dyDescent="0.25">
      <c r="A700" s="43" t="s">
        <v>24</v>
      </c>
      <c r="B700" s="83"/>
      <c r="C700" s="83"/>
      <c r="D700" s="84" t="s">
        <v>3</v>
      </c>
      <c r="E700" s="85" t="s">
        <v>25</v>
      </c>
      <c r="F700" s="85"/>
      <c r="G700" s="85"/>
      <c r="H700" s="86"/>
      <c r="I700" s="87" t="s">
        <v>1911</v>
      </c>
      <c r="J700" s="44"/>
    </row>
    <row r="701" spans="1:10" x14ac:dyDescent="0.25">
      <c r="A701" s="51"/>
      <c r="B701" s="83"/>
      <c r="C701" s="83"/>
      <c r="D701" s="84" t="s">
        <v>556</v>
      </c>
      <c r="E701" s="85">
        <f>1.5*2</f>
        <v>3</v>
      </c>
      <c r="F701" s="85"/>
      <c r="G701" s="85"/>
      <c r="H701" s="85"/>
      <c r="I701" s="88">
        <v>3</v>
      </c>
      <c r="J701" s="44" t="s">
        <v>27</v>
      </c>
    </row>
    <row r="702" spans="1:10" x14ac:dyDescent="0.25">
      <c r="A702" s="51"/>
      <c r="B702" s="83"/>
      <c r="C702" s="83"/>
      <c r="D702" s="84" t="s">
        <v>557</v>
      </c>
      <c r="E702" s="85">
        <f>1*6</f>
        <v>6</v>
      </c>
      <c r="F702" s="85"/>
      <c r="G702" s="85"/>
      <c r="H702" s="85"/>
      <c r="I702" s="88">
        <v>6</v>
      </c>
      <c r="J702" s="44" t="s">
        <v>27</v>
      </c>
    </row>
    <row r="703" spans="1:10" x14ac:dyDescent="0.25">
      <c r="A703" s="51"/>
      <c r="B703" s="83"/>
      <c r="C703" s="83"/>
      <c r="D703" s="84" t="s">
        <v>558</v>
      </c>
      <c r="E703" s="85">
        <f>2*2</f>
        <v>4</v>
      </c>
      <c r="F703" s="85"/>
      <c r="G703" s="85"/>
      <c r="H703" s="85"/>
      <c r="I703" s="88">
        <v>4</v>
      </c>
      <c r="J703" s="44" t="s">
        <v>27</v>
      </c>
    </row>
    <row r="704" spans="1:10" x14ac:dyDescent="0.25">
      <c r="A704" s="39" t="s">
        <v>559</v>
      </c>
      <c r="B704" s="16" t="s">
        <v>560</v>
      </c>
      <c r="C704" s="16" t="s">
        <v>56</v>
      </c>
      <c r="D704" s="17" t="s">
        <v>561</v>
      </c>
      <c r="E704" s="16" t="s">
        <v>23</v>
      </c>
      <c r="F704" s="27">
        <v>6</v>
      </c>
      <c r="G704" s="67">
        <v>290.77999999999997</v>
      </c>
      <c r="H704" s="67">
        <v>350.68</v>
      </c>
      <c r="I704" s="18">
        <v>2104.08</v>
      </c>
      <c r="J704" s="40">
        <v>1.2021173912264586E-4</v>
      </c>
    </row>
    <row r="705" spans="1:10" x14ac:dyDescent="0.25">
      <c r="A705" s="43" t="s">
        <v>24</v>
      </c>
      <c r="B705" s="83"/>
      <c r="C705" s="83"/>
      <c r="D705" s="84" t="s">
        <v>3</v>
      </c>
      <c r="E705" s="85" t="s">
        <v>25</v>
      </c>
      <c r="F705" s="85"/>
      <c r="G705" s="85"/>
      <c r="H705" s="86"/>
      <c r="I705" s="87" t="s">
        <v>1911</v>
      </c>
      <c r="J705" s="44"/>
    </row>
    <row r="706" spans="1:10" x14ac:dyDescent="0.25">
      <c r="A706" s="51"/>
      <c r="B706" s="83"/>
      <c r="C706" s="83"/>
      <c r="D706" s="84" t="s">
        <v>562</v>
      </c>
      <c r="E706" s="85">
        <f>2.5*2</f>
        <v>5</v>
      </c>
      <c r="F706" s="85"/>
      <c r="G706" s="85"/>
      <c r="H706" s="85"/>
      <c r="I706" s="88">
        <v>5</v>
      </c>
      <c r="J706" s="44" t="s">
        <v>27</v>
      </c>
    </row>
    <row r="707" spans="1:10" x14ac:dyDescent="0.25">
      <c r="A707" s="51"/>
      <c r="B707" s="83"/>
      <c r="C707" s="83"/>
      <c r="D707" s="84" t="s">
        <v>563</v>
      </c>
      <c r="E707" s="85">
        <f>1*1</f>
        <v>1</v>
      </c>
      <c r="F707" s="85"/>
      <c r="G707" s="85"/>
      <c r="H707" s="85"/>
      <c r="I707" s="88">
        <v>1</v>
      </c>
      <c r="J707" s="44" t="s">
        <v>27</v>
      </c>
    </row>
    <row r="708" spans="1:10" x14ac:dyDescent="0.25">
      <c r="A708" s="41" t="s">
        <v>564</v>
      </c>
      <c r="B708" s="13"/>
      <c r="C708" s="13"/>
      <c r="D708" s="14" t="s">
        <v>565</v>
      </c>
      <c r="E708" s="14"/>
      <c r="F708" s="26">
        <v>1</v>
      </c>
      <c r="G708" s="66"/>
      <c r="H708" s="66"/>
      <c r="I708" s="15">
        <v>215131.36</v>
      </c>
      <c r="J708" s="42">
        <v>1.2291032149642604E-2</v>
      </c>
    </row>
    <row r="709" spans="1:10" ht="26.4" x14ac:dyDescent="0.25">
      <c r="A709" s="39" t="s">
        <v>566</v>
      </c>
      <c r="B709" s="16" t="s">
        <v>567</v>
      </c>
      <c r="C709" s="16" t="s">
        <v>56</v>
      </c>
      <c r="D709" s="17" t="s">
        <v>568</v>
      </c>
      <c r="E709" s="16" t="s">
        <v>23</v>
      </c>
      <c r="F709" s="27">
        <v>66.778000000000006</v>
      </c>
      <c r="G709" s="67">
        <v>1749.08</v>
      </c>
      <c r="H709" s="67">
        <v>2109.39</v>
      </c>
      <c r="I709" s="18">
        <v>140860.84</v>
      </c>
      <c r="J709" s="40">
        <v>8.047757951540226E-3</v>
      </c>
    </row>
    <row r="710" spans="1:10" x14ac:dyDescent="0.25">
      <c r="A710" s="43" t="s">
        <v>24</v>
      </c>
      <c r="B710" s="83"/>
      <c r="C710" s="83"/>
      <c r="D710" s="84" t="s">
        <v>3</v>
      </c>
      <c r="E710" s="85" t="s">
        <v>25</v>
      </c>
      <c r="F710" s="85"/>
      <c r="G710" s="85"/>
      <c r="H710" s="86"/>
      <c r="I710" s="87" t="s">
        <v>1911</v>
      </c>
      <c r="J710" s="44"/>
    </row>
    <row r="711" spans="1:10" x14ac:dyDescent="0.25">
      <c r="A711" s="51"/>
      <c r="B711" s="83"/>
      <c r="C711" s="83"/>
      <c r="D711" s="84" t="s">
        <v>569</v>
      </c>
      <c r="E711" s="85">
        <f>2*2.4*1</f>
        <v>4.8</v>
      </c>
      <c r="F711" s="85"/>
      <c r="G711" s="85"/>
      <c r="H711" s="85"/>
      <c r="I711" s="88">
        <v>4.8</v>
      </c>
      <c r="J711" s="44" t="s">
        <v>27</v>
      </c>
    </row>
    <row r="712" spans="1:10" x14ac:dyDescent="0.25">
      <c r="A712" s="51"/>
      <c r="B712" s="83"/>
      <c r="C712" s="83"/>
      <c r="D712" s="84" t="s">
        <v>570</v>
      </c>
      <c r="E712" s="85">
        <f>2*2.8*1</f>
        <v>5.6</v>
      </c>
      <c r="F712" s="85"/>
      <c r="G712" s="85"/>
      <c r="H712" s="85"/>
      <c r="I712" s="88">
        <v>5.6</v>
      </c>
      <c r="J712" s="44" t="s">
        <v>27</v>
      </c>
    </row>
    <row r="713" spans="1:10" x14ac:dyDescent="0.25">
      <c r="A713" s="51"/>
      <c r="B713" s="83"/>
      <c r="C713" s="83"/>
      <c r="D713" s="84" t="s">
        <v>571</v>
      </c>
      <c r="E713" s="85">
        <f>3*3.15*1</f>
        <v>9.4499999999999993</v>
      </c>
      <c r="F713" s="85"/>
      <c r="G713" s="85"/>
      <c r="H713" s="85"/>
      <c r="I713" s="88">
        <v>9.4499999999999993</v>
      </c>
      <c r="J713" s="44" t="s">
        <v>27</v>
      </c>
    </row>
    <row r="714" spans="1:10" x14ac:dyDescent="0.25">
      <c r="A714" s="51"/>
      <c r="B714" s="83"/>
      <c r="C714" s="83"/>
      <c r="D714" s="84" t="s">
        <v>572</v>
      </c>
      <c r="E714" s="85">
        <f>3.19*2.8*4</f>
        <v>35.727999999999994</v>
      </c>
      <c r="F714" s="85"/>
      <c r="G714" s="85"/>
      <c r="H714" s="85"/>
      <c r="I714" s="88">
        <v>35.728000000000002</v>
      </c>
      <c r="J714" s="44" t="s">
        <v>27</v>
      </c>
    </row>
    <row r="715" spans="1:10" x14ac:dyDescent="0.25">
      <c r="A715" s="51"/>
      <c r="B715" s="83"/>
      <c r="C715" s="83"/>
      <c r="D715" s="84" t="s">
        <v>573</v>
      </c>
      <c r="E715" s="85">
        <f>4*2.8*1</f>
        <v>11.2</v>
      </c>
      <c r="F715" s="85"/>
      <c r="G715" s="85"/>
      <c r="H715" s="85"/>
      <c r="I715" s="88">
        <v>11.2</v>
      </c>
      <c r="J715" s="44" t="s">
        <v>27</v>
      </c>
    </row>
    <row r="716" spans="1:10" ht="26.4" x14ac:dyDescent="0.25">
      <c r="A716" s="39" t="s">
        <v>574</v>
      </c>
      <c r="B716" s="16" t="s">
        <v>575</v>
      </c>
      <c r="C716" s="16" t="s">
        <v>21</v>
      </c>
      <c r="D716" s="17" t="s">
        <v>576</v>
      </c>
      <c r="E716" s="16" t="s">
        <v>23</v>
      </c>
      <c r="F716" s="27">
        <v>243</v>
      </c>
      <c r="G716" s="67">
        <v>253.44</v>
      </c>
      <c r="H716" s="67">
        <v>305.64</v>
      </c>
      <c r="I716" s="18">
        <v>74270.52</v>
      </c>
      <c r="J716" s="40">
        <v>4.2432741981023783E-3</v>
      </c>
    </row>
    <row r="717" spans="1:10" x14ac:dyDescent="0.25">
      <c r="A717" s="43" t="s">
        <v>24</v>
      </c>
      <c r="B717" s="83"/>
      <c r="C717" s="83"/>
      <c r="D717" s="84" t="s">
        <v>3</v>
      </c>
      <c r="E717" s="85" t="s">
        <v>25</v>
      </c>
      <c r="F717" s="85"/>
      <c r="G717" s="85"/>
      <c r="H717" s="86"/>
      <c r="I717" s="87" t="s">
        <v>1911</v>
      </c>
      <c r="J717" s="44"/>
    </row>
    <row r="718" spans="1:10" x14ac:dyDescent="0.25">
      <c r="A718" s="51"/>
      <c r="B718" s="83"/>
      <c r="C718" s="83"/>
      <c r="D718" s="84" t="s">
        <v>577</v>
      </c>
      <c r="E718" s="85">
        <f>0.9*0.3*12*75</f>
        <v>243.00000000000003</v>
      </c>
      <c r="F718" s="85"/>
      <c r="G718" s="85"/>
      <c r="H718" s="85"/>
      <c r="I718" s="88">
        <v>243</v>
      </c>
      <c r="J718" s="44" t="s">
        <v>27</v>
      </c>
    </row>
    <row r="719" spans="1:10" x14ac:dyDescent="0.25">
      <c r="A719" s="41" t="s">
        <v>578</v>
      </c>
      <c r="B719" s="13"/>
      <c r="C719" s="13"/>
      <c r="D719" s="14" t="s">
        <v>579</v>
      </c>
      <c r="E719" s="14"/>
      <c r="F719" s="26">
        <v>1</v>
      </c>
      <c r="G719" s="66"/>
      <c r="H719" s="66"/>
      <c r="I719" s="15">
        <v>59105.72</v>
      </c>
      <c r="J719" s="42">
        <v>3.3768684618912552E-3</v>
      </c>
    </row>
    <row r="720" spans="1:10" x14ac:dyDescent="0.25">
      <c r="A720" s="39" t="s">
        <v>580</v>
      </c>
      <c r="B720" s="16" t="s">
        <v>581</v>
      </c>
      <c r="C720" s="16" t="s">
        <v>582</v>
      </c>
      <c r="D720" s="17" t="s">
        <v>583</v>
      </c>
      <c r="E720" s="16" t="s">
        <v>23</v>
      </c>
      <c r="F720" s="27">
        <v>7.7</v>
      </c>
      <c r="G720" s="67">
        <v>839.93</v>
      </c>
      <c r="H720" s="67">
        <v>1012.95</v>
      </c>
      <c r="I720" s="18">
        <v>7799.71</v>
      </c>
      <c r="J720" s="40">
        <v>4.4561837180729448E-4</v>
      </c>
    </row>
    <row r="721" spans="1:10" x14ac:dyDescent="0.25">
      <c r="A721" s="43" t="s">
        <v>24</v>
      </c>
      <c r="B721" s="83"/>
      <c r="C721" s="83"/>
      <c r="D721" s="84" t="s">
        <v>3</v>
      </c>
      <c r="E721" s="85" t="s">
        <v>25</v>
      </c>
      <c r="F721" s="85"/>
      <c r="G721" s="85"/>
      <c r="H721" s="86"/>
      <c r="I721" s="87" t="s">
        <v>1911</v>
      </c>
      <c r="J721" s="44"/>
    </row>
    <row r="722" spans="1:10" ht="26.4" x14ac:dyDescent="0.25">
      <c r="A722" s="51"/>
      <c r="B722" s="83"/>
      <c r="C722" s="83"/>
      <c r="D722" s="84" t="s">
        <v>584</v>
      </c>
      <c r="E722" s="85">
        <f>3.5*2.2</f>
        <v>7.7000000000000011</v>
      </c>
      <c r="F722" s="85"/>
      <c r="G722" s="85"/>
      <c r="H722" s="85"/>
      <c r="I722" s="88">
        <v>7.7</v>
      </c>
      <c r="J722" s="44" t="s">
        <v>27</v>
      </c>
    </row>
    <row r="723" spans="1:10" x14ac:dyDescent="0.25">
      <c r="A723" s="39" t="s">
        <v>585</v>
      </c>
      <c r="B723" s="16" t="s">
        <v>586</v>
      </c>
      <c r="C723" s="16" t="s">
        <v>582</v>
      </c>
      <c r="D723" s="17" t="s">
        <v>587</v>
      </c>
      <c r="E723" s="16" t="s">
        <v>588</v>
      </c>
      <c r="F723" s="27">
        <v>1</v>
      </c>
      <c r="G723" s="67">
        <v>1168.71</v>
      </c>
      <c r="H723" s="67">
        <v>1409.46</v>
      </c>
      <c r="I723" s="18">
        <v>1409.46</v>
      </c>
      <c r="J723" s="40">
        <v>8.0526233709651927E-5</v>
      </c>
    </row>
    <row r="724" spans="1:10" x14ac:dyDescent="0.25">
      <c r="A724" s="43" t="s">
        <v>24</v>
      </c>
      <c r="B724" s="83"/>
      <c r="C724" s="83"/>
      <c r="D724" s="84" t="s">
        <v>3</v>
      </c>
      <c r="E724" s="85" t="s">
        <v>25</v>
      </c>
      <c r="F724" s="85"/>
      <c r="G724" s="85"/>
      <c r="H724" s="86"/>
      <c r="I724" s="87" t="s">
        <v>1911</v>
      </c>
      <c r="J724" s="44"/>
    </row>
    <row r="725" spans="1:10" ht="26.4" x14ac:dyDescent="0.25">
      <c r="A725" s="51"/>
      <c r="B725" s="83"/>
      <c r="C725" s="83"/>
      <c r="D725" s="84" t="s">
        <v>584</v>
      </c>
      <c r="E725" s="85">
        <f>1</f>
        <v>1</v>
      </c>
      <c r="F725" s="85"/>
      <c r="G725" s="85"/>
      <c r="H725" s="85"/>
      <c r="I725" s="88">
        <v>1</v>
      </c>
      <c r="J725" s="44" t="s">
        <v>27</v>
      </c>
    </row>
    <row r="726" spans="1:10" ht="39.6" x14ac:dyDescent="0.25">
      <c r="A726" s="39" t="s">
        <v>589</v>
      </c>
      <c r="B726" s="16" t="s">
        <v>590</v>
      </c>
      <c r="C726" s="16" t="s">
        <v>56</v>
      </c>
      <c r="D726" s="17" t="s">
        <v>591</v>
      </c>
      <c r="E726" s="16" t="s">
        <v>23</v>
      </c>
      <c r="F726" s="27">
        <v>25.16</v>
      </c>
      <c r="G726" s="67">
        <v>399.46</v>
      </c>
      <c r="H726" s="67">
        <v>481.74</v>
      </c>
      <c r="I726" s="18">
        <v>12120.57</v>
      </c>
      <c r="J726" s="40">
        <v>6.924807036128701E-4</v>
      </c>
    </row>
    <row r="727" spans="1:10" x14ac:dyDescent="0.25">
      <c r="A727" s="43" t="s">
        <v>24</v>
      </c>
      <c r="B727" s="83"/>
      <c r="C727" s="83"/>
      <c r="D727" s="84" t="s">
        <v>3</v>
      </c>
      <c r="E727" s="85" t="s">
        <v>25</v>
      </c>
      <c r="F727" s="85"/>
      <c r="G727" s="85"/>
      <c r="H727" s="86"/>
      <c r="I727" s="87" t="s">
        <v>1911</v>
      </c>
      <c r="J727" s="44"/>
    </row>
    <row r="728" spans="1:10" x14ac:dyDescent="0.25">
      <c r="A728" s="51"/>
      <c r="B728" s="83"/>
      <c r="C728" s="83"/>
      <c r="D728" s="84" t="s">
        <v>592</v>
      </c>
      <c r="E728" s="85">
        <f>(0.9*2.1)+(1.5*2.1)+(2*2.2*4)+(1.2*2.1)</f>
        <v>25.16</v>
      </c>
      <c r="F728" s="85"/>
      <c r="G728" s="85"/>
      <c r="H728" s="85"/>
      <c r="I728" s="88">
        <v>25.16</v>
      </c>
      <c r="J728" s="44" t="s">
        <v>27</v>
      </c>
    </row>
    <row r="729" spans="1:10" ht="52.8" x14ac:dyDescent="0.25">
      <c r="A729" s="39" t="s">
        <v>593</v>
      </c>
      <c r="B729" s="16" t="s">
        <v>594</v>
      </c>
      <c r="C729" s="16" t="s">
        <v>43</v>
      </c>
      <c r="D729" s="17" t="s">
        <v>595</v>
      </c>
      <c r="E729" s="16" t="s">
        <v>23</v>
      </c>
      <c r="F729" s="27">
        <v>44.64</v>
      </c>
      <c r="G729" s="67">
        <v>630.91</v>
      </c>
      <c r="H729" s="67">
        <v>760.87</v>
      </c>
      <c r="I729" s="18">
        <v>33965.230000000003</v>
      </c>
      <c r="J729" s="40">
        <v>1.9405247747237104E-3</v>
      </c>
    </row>
    <row r="730" spans="1:10" x14ac:dyDescent="0.25">
      <c r="A730" s="43" t="s">
        <v>24</v>
      </c>
      <c r="B730" s="83"/>
      <c r="C730" s="83"/>
      <c r="D730" s="84" t="s">
        <v>3</v>
      </c>
      <c r="E730" s="85" t="s">
        <v>25</v>
      </c>
      <c r="F730" s="85"/>
      <c r="G730" s="85"/>
      <c r="H730" s="86"/>
      <c r="I730" s="87" t="s">
        <v>1911</v>
      </c>
      <c r="J730" s="44"/>
    </row>
    <row r="731" spans="1:10" x14ac:dyDescent="0.25">
      <c r="A731" s="51"/>
      <c r="B731" s="83"/>
      <c r="C731" s="83"/>
      <c r="D731" s="84" t="s">
        <v>596</v>
      </c>
      <c r="E731" s="85">
        <f>(2.4*2*5)+(1.2*2)+(1.52*2*6)</f>
        <v>44.64</v>
      </c>
      <c r="F731" s="85"/>
      <c r="G731" s="85"/>
      <c r="H731" s="85"/>
      <c r="I731" s="88">
        <v>44.64</v>
      </c>
      <c r="J731" s="44" t="s">
        <v>27</v>
      </c>
    </row>
    <row r="732" spans="1:10" ht="26.4" x14ac:dyDescent="0.25">
      <c r="A732" s="39" t="s">
        <v>597</v>
      </c>
      <c r="B732" s="16" t="s">
        <v>598</v>
      </c>
      <c r="C732" s="16" t="s">
        <v>43</v>
      </c>
      <c r="D732" s="17" t="s">
        <v>599</v>
      </c>
      <c r="E732" s="16" t="s">
        <v>23</v>
      </c>
      <c r="F732" s="27">
        <v>7.04</v>
      </c>
      <c r="G732" s="67">
        <v>448.84</v>
      </c>
      <c r="H732" s="67">
        <v>541.29999999999995</v>
      </c>
      <c r="I732" s="18">
        <v>3810.75</v>
      </c>
      <c r="J732" s="40">
        <v>2.1771837803772798E-4</v>
      </c>
    </row>
    <row r="733" spans="1:10" x14ac:dyDescent="0.25">
      <c r="A733" s="43" t="s">
        <v>24</v>
      </c>
      <c r="B733" s="83"/>
      <c r="C733" s="83"/>
      <c r="D733" s="84" t="s">
        <v>3</v>
      </c>
      <c r="E733" s="85" t="s">
        <v>25</v>
      </c>
      <c r="F733" s="85"/>
      <c r="G733" s="85"/>
      <c r="H733" s="86"/>
      <c r="I733" s="87" t="s">
        <v>1911</v>
      </c>
      <c r="J733" s="44"/>
    </row>
    <row r="734" spans="1:10" x14ac:dyDescent="0.25">
      <c r="A734" s="51"/>
      <c r="B734" s="83"/>
      <c r="C734" s="83"/>
      <c r="D734" s="84" t="s">
        <v>600</v>
      </c>
      <c r="E734" s="85">
        <f>3.2*2.2</f>
        <v>7.0400000000000009</v>
      </c>
      <c r="F734" s="85"/>
      <c r="G734" s="85"/>
      <c r="H734" s="85"/>
      <c r="I734" s="88">
        <v>7.04</v>
      </c>
      <c r="J734" s="44" t="s">
        <v>27</v>
      </c>
    </row>
    <row r="735" spans="1:10" x14ac:dyDescent="0.25">
      <c r="A735" s="41" t="s">
        <v>601</v>
      </c>
      <c r="B735" s="13"/>
      <c r="C735" s="13"/>
      <c r="D735" s="14" t="s">
        <v>602</v>
      </c>
      <c r="E735" s="14"/>
      <c r="F735" s="26">
        <v>1</v>
      </c>
      <c r="G735" s="66"/>
      <c r="H735" s="66"/>
      <c r="I735" s="15">
        <v>3251035.81</v>
      </c>
      <c r="J735" s="42">
        <v>0.18574040372519091</v>
      </c>
    </row>
    <row r="736" spans="1:10" ht="39.6" x14ac:dyDescent="0.25">
      <c r="A736" s="39" t="s">
        <v>603</v>
      </c>
      <c r="B736" s="16" t="s">
        <v>604</v>
      </c>
      <c r="C736" s="16" t="s">
        <v>14</v>
      </c>
      <c r="D736" s="17" t="s">
        <v>605</v>
      </c>
      <c r="E736" s="16" t="s">
        <v>89</v>
      </c>
      <c r="F736" s="27">
        <v>73802.23</v>
      </c>
      <c r="G736" s="67">
        <v>18.510000000000002</v>
      </c>
      <c r="H736" s="67">
        <v>22.32</v>
      </c>
      <c r="I736" s="18">
        <v>1647265.77</v>
      </c>
      <c r="J736" s="40">
        <v>9.4112715775495404E-2</v>
      </c>
    </row>
    <row r="737" spans="1:10" x14ac:dyDescent="0.25">
      <c r="A737" s="43" t="s">
        <v>24</v>
      </c>
      <c r="B737" s="83"/>
      <c r="C737" s="83"/>
      <c r="D737" s="84" t="s">
        <v>3</v>
      </c>
      <c r="E737" s="85" t="s">
        <v>25</v>
      </c>
      <c r="F737" s="85"/>
      <c r="G737" s="85"/>
      <c r="H737" s="86"/>
      <c r="I737" s="87" t="s">
        <v>1911</v>
      </c>
      <c r="J737" s="44"/>
    </row>
    <row r="738" spans="1:10" x14ac:dyDescent="0.25">
      <c r="A738" s="51"/>
      <c r="B738" s="83"/>
      <c r="C738" s="83"/>
      <c r="D738" s="84" t="s">
        <v>606</v>
      </c>
      <c r="E738" s="85">
        <f>10317.3</f>
        <v>10317.299999999999</v>
      </c>
      <c r="F738" s="85"/>
      <c r="G738" s="85"/>
      <c r="H738" s="85"/>
      <c r="I738" s="88">
        <v>10317.299999999999</v>
      </c>
      <c r="J738" s="44" t="s">
        <v>27</v>
      </c>
    </row>
    <row r="739" spans="1:10" x14ac:dyDescent="0.25">
      <c r="A739" s="51"/>
      <c r="B739" s="83"/>
      <c r="C739" s="83"/>
      <c r="D739" s="84" t="s">
        <v>607</v>
      </c>
      <c r="E739" s="85">
        <f>2302.4</f>
        <v>2302.4</v>
      </c>
      <c r="F739" s="85"/>
      <c r="G739" s="85"/>
      <c r="H739" s="85"/>
      <c r="I739" s="88">
        <v>2302.4</v>
      </c>
      <c r="J739" s="44" t="s">
        <v>27</v>
      </c>
    </row>
    <row r="740" spans="1:10" x14ac:dyDescent="0.25">
      <c r="A740" s="51"/>
      <c r="B740" s="83"/>
      <c r="C740" s="83"/>
      <c r="D740" s="84" t="s">
        <v>608</v>
      </c>
      <c r="E740" s="85">
        <f>6375.88</f>
        <v>6375.88</v>
      </c>
      <c r="F740" s="85"/>
      <c r="G740" s="85"/>
      <c r="H740" s="85"/>
      <c r="I740" s="88">
        <v>6375.88</v>
      </c>
      <c r="J740" s="44" t="s">
        <v>27</v>
      </c>
    </row>
    <row r="741" spans="1:10" x14ac:dyDescent="0.25">
      <c r="A741" s="51"/>
      <c r="B741" s="83"/>
      <c r="C741" s="83"/>
      <c r="D741" s="84" t="s">
        <v>609</v>
      </c>
      <c r="E741" s="85">
        <f>7769.47</f>
        <v>7769.47</v>
      </c>
      <c r="F741" s="85"/>
      <c r="G741" s="85"/>
      <c r="H741" s="85"/>
      <c r="I741" s="88">
        <v>7769.47</v>
      </c>
      <c r="J741" s="44" t="s">
        <v>27</v>
      </c>
    </row>
    <row r="742" spans="1:10" x14ac:dyDescent="0.25">
      <c r="A742" s="51"/>
      <c r="B742" s="83"/>
      <c r="C742" s="83"/>
      <c r="D742" s="84" t="s">
        <v>610</v>
      </c>
      <c r="E742" s="85">
        <f>13652.91</f>
        <v>13652.91</v>
      </c>
      <c r="F742" s="85"/>
      <c r="G742" s="85"/>
      <c r="H742" s="85"/>
      <c r="I742" s="88">
        <v>13652.91</v>
      </c>
      <c r="J742" s="44" t="s">
        <v>27</v>
      </c>
    </row>
    <row r="743" spans="1:10" x14ac:dyDescent="0.25">
      <c r="A743" s="51"/>
      <c r="B743" s="83"/>
      <c r="C743" s="83"/>
      <c r="D743" s="84" t="s">
        <v>611</v>
      </c>
      <c r="E743" s="85">
        <f>4752.84</f>
        <v>4752.84</v>
      </c>
      <c r="F743" s="85"/>
      <c r="G743" s="85"/>
      <c r="H743" s="85"/>
      <c r="I743" s="88">
        <v>4752.84</v>
      </c>
      <c r="J743" s="44" t="s">
        <v>27</v>
      </c>
    </row>
    <row r="744" spans="1:10" ht="26.4" x14ac:dyDescent="0.25">
      <c r="A744" s="51"/>
      <c r="B744" s="83"/>
      <c r="C744" s="83"/>
      <c r="D744" s="84" t="s">
        <v>612</v>
      </c>
      <c r="E744" s="85">
        <f>28631.43</f>
        <v>28631.43</v>
      </c>
      <c r="F744" s="85"/>
      <c r="G744" s="85"/>
      <c r="H744" s="85"/>
      <c r="I744" s="88">
        <v>28631.43</v>
      </c>
      <c r="J744" s="44" t="s">
        <v>27</v>
      </c>
    </row>
    <row r="745" spans="1:10" ht="39.6" x14ac:dyDescent="0.25">
      <c r="A745" s="39" t="s">
        <v>613</v>
      </c>
      <c r="B745" s="16" t="s">
        <v>614</v>
      </c>
      <c r="C745" s="16" t="s">
        <v>21</v>
      </c>
      <c r="D745" s="17" t="s">
        <v>615</v>
      </c>
      <c r="E745" s="16" t="s">
        <v>23</v>
      </c>
      <c r="F745" s="27">
        <v>5740.37</v>
      </c>
      <c r="G745" s="67">
        <v>50.17</v>
      </c>
      <c r="H745" s="67">
        <v>60.5</v>
      </c>
      <c r="I745" s="18">
        <v>347292.38</v>
      </c>
      <c r="J745" s="40">
        <v>1.9841746028593395E-2</v>
      </c>
    </row>
    <row r="746" spans="1:10" x14ac:dyDescent="0.25">
      <c r="A746" s="43" t="s">
        <v>24</v>
      </c>
      <c r="B746" s="83"/>
      <c r="C746" s="83"/>
      <c r="D746" s="84" t="s">
        <v>3</v>
      </c>
      <c r="E746" s="85" t="s">
        <v>25</v>
      </c>
      <c r="F746" s="85"/>
      <c r="G746" s="85"/>
      <c r="H746" s="86"/>
      <c r="I746" s="87" t="s">
        <v>1911</v>
      </c>
      <c r="J746" s="44"/>
    </row>
    <row r="747" spans="1:10" ht="26.4" x14ac:dyDescent="0.25">
      <c r="A747" s="51"/>
      <c r="B747" s="83"/>
      <c r="C747" s="83"/>
      <c r="D747" s="84" t="s">
        <v>616</v>
      </c>
      <c r="E747" s="85">
        <f>5740.37</f>
        <v>5740.37</v>
      </c>
      <c r="F747" s="85"/>
      <c r="G747" s="85"/>
      <c r="H747" s="85"/>
      <c r="I747" s="88">
        <v>5740.37</v>
      </c>
      <c r="J747" s="44" t="s">
        <v>27</v>
      </c>
    </row>
    <row r="748" spans="1:10" ht="26.4" x14ac:dyDescent="0.25">
      <c r="A748" s="39" t="s">
        <v>617</v>
      </c>
      <c r="B748" s="16" t="s">
        <v>618</v>
      </c>
      <c r="C748" s="16" t="s">
        <v>56</v>
      </c>
      <c r="D748" s="17" t="s">
        <v>619</v>
      </c>
      <c r="E748" s="16" t="s">
        <v>23</v>
      </c>
      <c r="F748" s="27">
        <v>1171.7</v>
      </c>
      <c r="G748" s="67">
        <v>139.84</v>
      </c>
      <c r="H748" s="67">
        <v>168.64</v>
      </c>
      <c r="I748" s="18">
        <v>197595.48</v>
      </c>
      <c r="J748" s="40">
        <v>1.1289160247506742E-2</v>
      </c>
    </row>
    <row r="749" spans="1:10" x14ac:dyDescent="0.25">
      <c r="A749" s="43" t="s">
        <v>24</v>
      </c>
      <c r="B749" s="83"/>
      <c r="C749" s="83"/>
      <c r="D749" s="84" t="s">
        <v>3</v>
      </c>
      <c r="E749" s="85" t="s">
        <v>25</v>
      </c>
      <c r="F749" s="85"/>
      <c r="G749" s="85"/>
      <c r="H749" s="86"/>
      <c r="I749" s="87" t="s">
        <v>1911</v>
      </c>
      <c r="J749" s="44"/>
    </row>
    <row r="750" spans="1:10" ht="26.4" x14ac:dyDescent="0.25">
      <c r="A750" s="51"/>
      <c r="B750" s="83"/>
      <c r="C750" s="83"/>
      <c r="D750" s="84" t="s">
        <v>620</v>
      </c>
      <c r="E750" s="85">
        <f>13.67</f>
        <v>13.67</v>
      </c>
      <c r="F750" s="85"/>
      <c r="G750" s="85"/>
      <c r="H750" s="85"/>
      <c r="I750" s="88">
        <v>13.67</v>
      </c>
      <c r="J750" s="44" t="s">
        <v>27</v>
      </c>
    </row>
    <row r="751" spans="1:10" x14ac:dyDescent="0.25">
      <c r="A751" s="51"/>
      <c r="B751" s="83"/>
      <c r="C751" s="83"/>
      <c r="D751" s="84" t="s">
        <v>621</v>
      </c>
      <c r="E751" s="85">
        <f>991.75</f>
        <v>991.75</v>
      </c>
      <c r="F751" s="85"/>
      <c r="G751" s="85"/>
      <c r="H751" s="85"/>
      <c r="I751" s="88">
        <v>991.75</v>
      </c>
      <c r="J751" s="44" t="s">
        <v>27</v>
      </c>
    </row>
    <row r="752" spans="1:10" ht="26.4" x14ac:dyDescent="0.25">
      <c r="A752" s="51"/>
      <c r="B752" s="83"/>
      <c r="C752" s="83"/>
      <c r="D752" s="84" t="s">
        <v>622</v>
      </c>
      <c r="E752" s="85">
        <f>24.38</f>
        <v>24.38</v>
      </c>
      <c r="F752" s="85"/>
      <c r="G752" s="85"/>
      <c r="H752" s="85"/>
      <c r="I752" s="88">
        <v>24.38</v>
      </c>
      <c r="J752" s="44" t="s">
        <v>27</v>
      </c>
    </row>
    <row r="753" spans="1:10" x14ac:dyDescent="0.25">
      <c r="A753" s="51"/>
      <c r="B753" s="83"/>
      <c r="C753" s="83"/>
      <c r="D753" s="84" t="s">
        <v>607</v>
      </c>
      <c r="E753" s="85">
        <f>127.62</f>
        <v>127.62</v>
      </c>
      <c r="F753" s="85"/>
      <c r="G753" s="85"/>
      <c r="H753" s="85"/>
      <c r="I753" s="88">
        <v>127.62</v>
      </c>
      <c r="J753" s="44" t="s">
        <v>27</v>
      </c>
    </row>
    <row r="754" spans="1:10" ht="26.4" x14ac:dyDescent="0.25">
      <c r="A754" s="51"/>
      <c r="B754" s="83"/>
      <c r="C754" s="83"/>
      <c r="D754" s="84" t="s">
        <v>623</v>
      </c>
      <c r="E754" s="85">
        <f>14.28</f>
        <v>14.28</v>
      </c>
      <c r="F754" s="85"/>
      <c r="G754" s="85"/>
      <c r="H754" s="85"/>
      <c r="I754" s="88">
        <v>14.28</v>
      </c>
      <c r="J754" s="44" t="s">
        <v>27</v>
      </c>
    </row>
    <row r="755" spans="1:10" ht="26.4" x14ac:dyDescent="0.25">
      <c r="A755" s="39" t="s">
        <v>624</v>
      </c>
      <c r="B755" s="16" t="s">
        <v>625</v>
      </c>
      <c r="C755" s="16" t="s">
        <v>21</v>
      </c>
      <c r="D755" s="17" t="s">
        <v>626</v>
      </c>
      <c r="E755" s="16" t="s">
        <v>23</v>
      </c>
      <c r="F755" s="27">
        <v>3969.72</v>
      </c>
      <c r="G755" s="67">
        <v>179.44</v>
      </c>
      <c r="H755" s="67">
        <v>216.4</v>
      </c>
      <c r="I755" s="18">
        <v>859047.4</v>
      </c>
      <c r="J755" s="40">
        <v>4.9079684205347328E-2</v>
      </c>
    </row>
    <row r="756" spans="1:10" x14ac:dyDescent="0.25">
      <c r="A756" s="43" t="s">
        <v>24</v>
      </c>
      <c r="B756" s="83"/>
      <c r="C756" s="83"/>
      <c r="D756" s="84" t="s">
        <v>3</v>
      </c>
      <c r="E756" s="85" t="s">
        <v>25</v>
      </c>
      <c r="F756" s="85"/>
      <c r="G756" s="85"/>
      <c r="H756" s="86"/>
      <c r="I756" s="87" t="s">
        <v>1911</v>
      </c>
      <c r="J756" s="44"/>
    </row>
    <row r="757" spans="1:10" ht="26.4" x14ac:dyDescent="0.25">
      <c r="A757" s="51"/>
      <c r="B757" s="83"/>
      <c r="C757" s="83"/>
      <c r="D757" s="84" t="s">
        <v>627</v>
      </c>
      <c r="E757" s="85">
        <f>55.34</f>
        <v>55.34</v>
      </c>
      <c r="F757" s="85"/>
      <c r="G757" s="85"/>
      <c r="H757" s="85"/>
      <c r="I757" s="88">
        <v>55.34</v>
      </c>
      <c r="J757" s="44" t="s">
        <v>27</v>
      </c>
    </row>
    <row r="758" spans="1:10" x14ac:dyDescent="0.25">
      <c r="A758" s="51"/>
      <c r="B758" s="83"/>
      <c r="C758" s="83"/>
      <c r="D758" s="84" t="s">
        <v>608</v>
      </c>
      <c r="E758" s="85">
        <f>475.41</f>
        <v>475.41</v>
      </c>
      <c r="F758" s="85"/>
      <c r="G758" s="85"/>
      <c r="H758" s="85"/>
      <c r="I758" s="88">
        <v>475.41</v>
      </c>
      <c r="J758" s="44" t="s">
        <v>27</v>
      </c>
    </row>
    <row r="759" spans="1:10" x14ac:dyDescent="0.25">
      <c r="A759" s="51"/>
      <c r="B759" s="83"/>
      <c r="C759" s="83"/>
      <c r="D759" s="84" t="s">
        <v>628</v>
      </c>
      <c r="E759" s="85">
        <f>774.42</f>
        <v>774.42</v>
      </c>
      <c r="F759" s="85"/>
      <c r="G759" s="85"/>
      <c r="H759" s="85"/>
      <c r="I759" s="88">
        <v>774.42</v>
      </c>
      <c r="J759" s="44" t="s">
        <v>27</v>
      </c>
    </row>
    <row r="760" spans="1:10" x14ac:dyDescent="0.25">
      <c r="A760" s="51"/>
      <c r="B760" s="83"/>
      <c r="C760" s="83"/>
      <c r="D760" s="84" t="s">
        <v>611</v>
      </c>
      <c r="E760" s="85">
        <f>417.64</f>
        <v>417.64</v>
      </c>
      <c r="F760" s="85"/>
      <c r="G760" s="85"/>
      <c r="H760" s="85"/>
      <c r="I760" s="88">
        <v>417.64</v>
      </c>
      <c r="J760" s="44" t="s">
        <v>27</v>
      </c>
    </row>
    <row r="761" spans="1:10" x14ac:dyDescent="0.25">
      <c r="A761" s="51"/>
      <c r="B761" s="83"/>
      <c r="C761" s="83"/>
      <c r="D761" s="84" t="s">
        <v>609</v>
      </c>
      <c r="E761" s="85">
        <f>655.62</f>
        <v>655.62</v>
      </c>
      <c r="F761" s="85"/>
      <c r="G761" s="85"/>
      <c r="H761" s="85"/>
      <c r="I761" s="88">
        <v>655.62</v>
      </c>
      <c r="J761" s="44" t="s">
        <v>27</v>
      </c>
    </row>
    <row r="762" spans="1:10" x14ac:dyDescent="0.25">
      <c r="A762" s="51"/>
      <c r="B762" s="83"/>
      <c r="C762" s="83"/>
      <c r="D762" s="84" t="s">
        <v>606</v>
      </c>
      <c r="E762" s="85">
        <f>801.71</f>
        <v>801.71</v>
      </c>
      <c r="F762" s="85"/>
      <c r="G762" s="85"/>
      <c r="H762" s="85"/>
      <c r="I762" s="88">
        <v>801.71</v>
      </c>
      <c r="J762" s="44" t="s">
        <v>27</v>
      </c>
    </row>
    <row r="763" spans="1:10" x14ac:dyDescent="0.25">
      <c r="A763" s="51"/>
      <c r="B763" s="83"/>
      <c r="C763" s="83"/>
      <c r="D763" s="84" t="s">
        <v>610</v>
      </c>
      <c r="E763" s="85">
        <f>789.58</f>
        <v>789.58</v>
      </c>
      <c r="F763" s="85"/>
      <c r="G763" s="85"/>
      <c r="H763" s="85"/>
      <c r="I763" s="88">
        <v>789.58</v>
      </c>
      <c r="J763" s="44" t="s">
        <v>27</v>
      </c>
    </row>
    <row r="764" spans="1:10" ht="26.4" x14ac:dyDescent="0.25">
      <c r="A764" s="45" t="s">
        <v>629</v>
      </c>
      <c r="B764" s="21" t="s">
        <v>630</v>
      </c>
      <c r="C764" s="21" t="s">
        <v>582</v>
      </c>
      <c r="D764" s="22" t="s">
        <v>631</v>
      </c>
      <c r="E764" s="21" t="s">
        <v>588</v>
      </c>
      <c r="F764" s="28">
        <v>158.69999999999999</v>
      </c>
      <c r="G764" s="68">
        <v>102.96</v>
      </c>
      <c r="H764" s="68">
        <v>114.17</v>
      </c>
      <c r="I764" s="23">
        <v>18118.77</v>
      </c>
      <c r="J764" s="46">
        <v>1.0351739726926837E-3</v>
      </c>
    </row>
    <row r="765" spans="1:10" x14ac:dyDescent="0.25">
      <c r="A765" s="43" t="s">
        <v>24</v>
      </c>
      <c r="B765" s="83"/>
      <c r="C765" s="83"/>
      <c r="D765" s="84" t="s">
        <v>3</v>
      </c>
      <c r="E765" s="85" t="s">
        <v>25</v>
      </c>
      <c r="F765" s="85"/>
      <c r="G765" s="85"/>
      <c r="H765" s="86"/>
      <c r="I765" s="87" t="s">
        <v>1911</v>
      </c>
      <c r="J765" s="44"/>
    </row>
    <row r="766" spans="1:10" x14ac:dyDescent="0.25">
      <c r="A766" s="51"/>
      <c r="B766" s="83"/>
      <c r="C766" s="83"/>
      <c r="D766" s="84" t="s">
        <v>606</v>
      </c>
      <c r="E766" s="85">
        <f>36.89</f>
        <v>36.89</v>
      </c>
      <c r="F766" s="85"/>
      <c r="G766" s="85"/>
      <c r="H766" s="85"/>
      <c r="I766" s="88">
        <v>36.89</v>
      </c>
      <c r="J766" s="44" t="s">
        <v>27</v>
      </c>
    </row>
    <row r="767" spans="1:10" ht="26.4" x14ac:dyDescent="0.25">
      <c r="A767" s="51"/>
      <c r="B767" s="83"/>
      <c r="C767" s="83"/>
      <c r="D767" s="84" t="s">
        <v>612</v>
      </c>
      <c r="E767" s="85">
        <f>72.57</f>
        <v>72.569999999999993</v>
      </c>
      <c r="F767" s="85"/>
      <c r="G767" s="85"/>
      <c r="H767" s="85"/>
      <c r="I767" s="88">
        <v>72.569999999999993</v>
      </c>
      <c r="J767" s="44" t="s">
        <v>27</v>
      </c>
    </row>
    <row r="768" spans="1:10" x14ac:dyDescent="0.25">
      <c r="A768" s="51"/>
      <c r="B768" s="83"/>
      <c r="C768" s="83"/>
      <c r="D768" s="84" t="s">
        <v>610</v>
      </c>
      <c r="E768" s="85">
        <f>49.24</f>
        <v>49.24</v>
      </c>
      <c r="F768" s="85"/>
      <c r="G768" s="85"/>
      <c r="H768" s="85"/>
      <c r="I768" s="88">
        <v>49.24</v>
      </c>
      <c r="J768" s="44" t="s">
        <v>27</v>
      </c>
    </row>
    <row r="769" spans="1:10" ht="26.4" x14ac:dyDescent="0.25">
      <c r="A769" s="39" t="s">
        <v>632</v>
      </c>
      <c r="B769" s="16" t="s">
        <v>633</v>
      </c>
      <c r="C769" s="16" t="s">
        <v>14</v>
      </c>
      <c r="D769" s="17" t="s">
        <v>634</v>
      </c>
      <c r="E769" s="16" t="s">
        <v>138</v>
      </c>
      <c r="F769" s="27">
        <v>251.75</v>
      </c>
      <c r="G769" s="67">
        <v>524.78</v>
      </c>
      <c r="H769" s="67">
        <v>632.88</v>
      </c>
      <c r="I769" s="18">
        <v>159327.54</v>
      </c>
      <c r="J769" s="40">
        <v>9.102810099203891E-3</v>
      </c>
    </row>
    <row r="770" spans="1:10" x14ac:dyDescent="0.25">
      <c r="A770" s="43" t="s">
        <v>24</v>
      </c>
      <c r="B770" s="83"/>
      <c r="C770" s="83"/>
      <c r="D770" s="84" t="s">
        <v>3</v>
      </c>
      <c r="E770" s="85" t="s">
        <v>25</v>
      </c>
      <c r="F770" s="85"/>
      <c r="G770" s="85"/>
      <c r="H770" s="86"/>
      <c r="I770" s="87" t="s">
        <v>1911</v>
      </c>
      <c r="J770" s="44"/>
    </row>
    <row r="771" spans="1:10" ht="26.4" x14ac:dyDescent="0.25">
      <c r="A771" s="51"/>
      <c r="B771" s="83"/>
      <c r="C771" s="83"/>
      <c r="D771" s="84" t="s">
        <v>627</v>
      </c>
      <c r="E771" s="85">
        <f>13.92</f>
        <v>13.92</v>
      </c>
      <c r="F771" s="85"/>
      <c r="G771" s="85"/>
      <c r="H771" s="85"/>
      <c r="I771" s="88">
        <v>13.92</v>
      </c>
      <c r="J771" s="44" t="s">
        <v>27</v>
      </c>
    </row>
    <row r="772" spans="1:10" ht="26.4" x14ac:dyDescent="0.25">
      <c r="A772" s="51"/>
      <c r="B772" s="83"/>
      <c r="C772" s="83"/>
      <c r="D772" s="84" t="s">
        <v>635</v>
      </c>
      <c r="E772" s="85">
        <f>29.78</f>
        <v>29.78</v>
      </c>
      <c r="F772" s="85"/>
      <c r="G772" s="85"/>
      <c r="H772" s="85"/>
      <c r="I772" s="88">
        <v>29.78</v>
      </c>
      <c r="J772" s="44" t="s">
        <v>27</v>
      </c>
    </row>
    <row r="773" spans="1:10" x14ac:dyDescent="0.25">
      <c r="A773" s="51"/>
      <c r="B773" s="83"/>
      <c r="C773" s="83"/>
      <c r="D773" s="84" t="s">
        <v>610</v>
      </c>
      <c r="E773" s="85">
        <f>208.05</f>
        <v>208.05</v>
      </c>
      <c r="F773" s="85"/>
      <c r="G773" s="85"/>
      <c r="H773" s="85"/>
      <c r="I773" s="88">
        <v>208.05</v>
      </c>
      <c r="J773" s="44" t="s">
        <v>27</v>
      </c>
    </row>
    <row r="774" spans="1:10" ht="26.4" x14ac:dyDescent="0.25">
      <c r="A774" s="39" t="s">
        <v>636</v>
      </c>
      <c r="B774" s="16" t="s">
        <v>637</v>
      </c>
      <c r="C774" s="16" t="s">
        <v>21</v>
      </c>
      <c r="D774" s="17" t="s">
        <v>638</v>
      </c>
      <c r="E774" s="16" t="s">
        <v>52</v>
      </c>
      <c r="F774" s="27">
        <v>354.08</v>
      </c>
      <c r="G774" s="67">
        <v>52.43</v>
      </c>
      <c r="H774" s="67">
        <v>63.23</v>
      </c>
      <c r="I774" s="18">
        <v>22388.47</v>
      </c>
      <c r="J774" s="40">
        <v>1.2791133963514615E-3</v>
      </c>
    </row>
    <row r="775" spans="1:10" x14ac:dyDescent="0.25">
      <c r="A775" s="43" t="s">
        <v>24</v>
      </c>
      <c r="B775" s="83"/>
      <c r="C775" s="83"/>
      <c r="D775" s="84" t="s">
        <v>3</v>
      </c>
      <c r="E775" s="85" t="s">
        <v>25</v>
      </c>
      <c r="F775" s="85"/>
      <c r="G775" s="85"/>
      <c r="H775" s="86"/>
      <c r="I775" s="87" t="s">
        <v>1911</v>
      </c>
      <c r="J775" s="44"/>
    </row>
    <row r="776" spans="1:10" x14ac:dyDescent="0.25">
      <c r="A776" s="51"/>
      <c r="B776" s="83"/>
      <c r="C776" s="83"/>
      <c r="D776" s="84" t="s">
        <v>90</v>
      </c>
      <c r="E776" s="85">
        <f>354.08</f>
        <v>354.08</v>
      </c>
      <c r="F776" s="85"/>
      <c r="G776" s="85"/>
      <c r="H776" s="85"/>
      <c r="I776" s="88">
        <v>354.08</v>
      </c>
      <c r="J776" s="44" t="s">
        <v>27</v>
      </c>
    </row>
    <row r="777" spans="1:10" x14ac:dyDescent="0.25">
      <c r="A777" s="41" t="s">
        <v>639</v>
      </c>
      <c r="B777" s="13"/>
      <c r="C777" s="13"/>
      <c r="D777" s="14" t="s">
        <v>640</v>
      </c>
      <c r="E777" s="14"/>
      <c r="F777" s="26">
        <v>1</v>
      </c>
      <c r="G777" s="66"/>
      <c r="H777" s="66"/>
      <c r="I777" s="15">
        <v>862630.86</v>
      </c>
      <c r="J777" s="42">
        <v>4.9284416895490499E-2</v>
      </c>
    </row>
    <row r="778" spans="1:10" x14ac:dyDescent="0.25">
      <c r="A778" s="41" t="s">
        <v>641</v>
      </c>
      <c r="B778" s="13"/>
      <c r="C778" s="13"/>
      <c r="D778" s="14" t="s">
        <v>642</v>
      </c>
      <c r="E778" s="14"/>
      <c r="F778" s="26">
        <v>1</v>
      </c>
      <c r="G778" s="66"/>
      <c r="H778" s="66"/>
      <c r="I778" s="15">
        <v>309009.91999999998</v>
      </c>
      <c r="J778" s="42">
        <v>1.7654566313709395E-2</v>
      </c>
    </row>
    <row r="779" spans="1:10" ht="39.6" x14ac:dyDescent="0.25">
      <c r="A779" s="39" t="s">
        <v>643</v>
      </c>
      <c r="B779" s="16" t="s">
        <v>644</v>
      </c>
      <c r="C779" s="16" t="s">
        <v>21</v>
      </c>
      <c r="D779" s="17" t="s">
        <v>645</v>
      </c>
      <c r="E779" s="16" t="s">
        <v>23</v>
      </c>
      <c r="F779" s="27">
        <v>1198.684</v>
      </c>
      <c r="G779" s="67">
        <v>74.81</v>
      </c>
      <c r="H779" s="67">
        <v>90.22</v>
      </c>
      <c r="I779" s="18">
        <v>108145.27</v>
      </c>
      <c r="J779" s="40">
        <v>6.1786296075187729E-3</v>
      </c>
    </row>
    <row r="780" spans="1:10" x14ac:dyDescent="0.25">
      <c r="A780" s="43" t="s">
        <v>24</v>
      </c>
      <c r="B780" s="83"/>
      <c r="C780" s="83"/>
      <c r="D780" s="84" t="s">
        <v>3</v>
      </c>
      <c r="E780" s="85" t="s">
        <v>25</v>
      </c>
      <c r="F780" s="85"/>
      <c r="G780" s="85"/>
      <c r="H780" s="86"/>
      <c r="I780" s="87" t="s">
        <v>1911</v>
      </c>
      <c r="J780" s="44"/>
    </row>
    <row r="781" spans="1:10" x14ac:dyDescent="0.25">
      <c r="A781" s="51"/>
      <c r="B781" s="83"/>
      <c r="C781" s="83"/>
      <c r="D781" s="84" t="s">
        <v>646</v>
      </c>
      <c r="E781" s="85">
        <f>12.24*2.8</f>
        <v>34.271999999999998</v>
      </c>
      <c r="F781" s="85"/>
      <c r="G781" s="85"/>
      <c r="H781" s="85"/>
      <c r="I781" s="88">
        <v>34.271999999999998</v>
      </c>
      <c r="J781" s="44" t="s">
        <v>27</v>
      </c>
    </row>
    <row r="782" spans="1:10" x14ac:dyDescent="0.25">
      <c r="A782" s="51"/>
      <c r="B782" s="83"/>
      <c r="C782" s="83"/>
      <c r="D782" s="84" t="s">
        <v>647</v>
      </c>
      <c r="E782" s="85">
        <f>30.16*2.8</f>
        <v>84.447999999999993</v>
      </c>
      <c r="F782" s="85"/>
      <c r="G782" s="85"/>
      <c r="H782" s="85"/>
      <c r="I782" s="88">
        <v>84.447999999999993</v>
      </c>
      <c r="J782" s="44" t="s">
        <v>27</v>
      </c>
    </row>
    <row r="783" spans="1:10" x14ac:dyDescent="0.25">
      <c r="A783" s="51"/>
      <c r="B783" s="83"/>
      <c r="C783" s="83"/>
      <c r="D783" s="84" t="s">
        <v>648</v>
      </c>
      <c r="E783" s="85">
        <f>8.82*2.8</f>
        <v>24.695999999999998</v>
      </c>
      <c r="F783" s="85"/>
      <c r="G783" s="85"/>
      <c r="H783" s="85"/>
      <c r="I783" s="88">
        <v>24.696000000000002</v>
      </c>
      <c r="J783" s="44" t="s">
        <v>27</v>
      </c>
    </row>
    <row r="784" spans="1:10" x14ac:dyDescent="0.25">
      <c r="A784" s="51"/>
      <c r="B784" s="83"/>
      <c r="C784" s="83"/>
      <c r="D784" s="84" t="s">
        <v>649</v>
      </c>
      <c r="E784" s="85">
        <f>8.6*2.8</f>
        <v>24.08</v>
      </c>
      <c r="F784" s="85"/>
      <c r="G784" s="85"/>
      <c r="H784" s="85"/>
      <c r="I784" s="88">
        <v>24.08</v>
      </c>
      <c r="J784" s="44" t="s">
        <v>27</v>
      </c>
    </row>
    <row r="785" spans="1:10" x14ac:dyDescent="0.25">
      <c r="A785" s="51"/>
      <c r="B785" s="83"/>
      <c r="C785" s="83"/>
      <c r="D785" s="84" t="s">
        <v>650</v>
      </c>
      <c r="E785" s="85">
        <f>18.4*2.8</f>
        <v>51.519999999999996</v>
      </c>
      <c r="F785" s="85"/>
      <c r="G785" s="85"/>
      <c r="H785" s="85"/>
      <c r="I785" s="88">
        <v>51.52</v>
      </c>
      <c r="J785" s="44" t="s">
        <v>27</v>
      </c>
    </row>
    <row r="786" spans="1:10" x14ac:dyDescent="0.25">
      <c r="A786" s="51"/>
      <c r="B786" s="83"/>
      <c r="C786" s="83"/>
      <c r="D786" s="84" t="s">
        <v>651</v>
      </c>
      <c r="E786" s="85">
        <f>17.6*2.8</f>
        <v>49.28</v>
      </c>
      <c r="F786" s="85"/>
      <c r="G786" s="85"/>
      <c r="H786" s="85"/>
      <c r="I786" s="88">
        <v>49.28</v>
      </c>
      <c r="J786" s="44" t="s">
        <v>27</v>
      </c>
    </row>
    <row r="787" spans="1:10" x14ac:dyDescent="0.25">
      <c r="A787" s="51"/>
      <c r="B787" s="83"/>
      <c r="C787" s="83"/>
      <c r="D787" s="84" t="s">
        <v>652</v>
      </c>
      <c r="E787" s="85">
        <f>42.89*2.8</f>
        <v>120.092</v>
      </c>
      <c r="F787" s="85"/>
      <c r="G787" s="85"/>
      <c r="H787" s="85"/>
      <c r="I787" s="88">
        <v>120.092</v>
      </c>
      <c r="J787" s="44" t="s">
        <v>27</v>
      </c>
    </row>
    <row r="788" spans="1:10" x14ac:dyDescent="0.25">
      <c r="A788" s="51"/>
      <c r="B788" s="83"/>
      <c r="C788" s="83"/>
      <c r="D788" s="84" t="s">
        <v>653</v>
      </c>
      <c r="E788" s="85">
        <f>17.9*2.8</f>
        <v>50.11999999999999</v>
      </c>
      <c r="F788" s="85"/>
      <c r="G788" s="85"/>
      <c r="H788" s="85"/>
      <c r="I788" s="88">
        <v>50.12</v>
      </c>
      <c r="J788" s="44" t="s">
        <v>27</v>
      </c>
    </row>
    <row r="789" spans="1:10" x14ac:dyDescent="0.25">
      <c r="A789" s="51"/>
      <c r="B789" s="83"/>
      <c r="C789" s="83"/>
      <c r="D789" s="84" t="s">
        <v>654</v>
      </c>
      <c r="E789" s="85">
        <f>22.6*2.8</f>
        <v>63.28</v>
      </c>
      <c r="F789" s="85"/>
      <c r="G789" s="85"/>
      <c r="H789" s="85"/>
      <c r="I789" s="88">
        <v>63.28</v>
      </c>
      <c r="J789" s="44" t="s">
        <v>27</v>
      </c>
    </row>
    <row r="790" spans="1:10" x14ac:dyDescent="0.25">
      <c r="A790" s="51"/>
      <c r="B790" s="83"/>
      <c r="C790" s="83"/>
      <c r="D790" s="84" t="s">
        <v>655</v>
      </c>
      <c r="E790" s="85">
        <f>16.74*2.8</f>
        <v>46.871999999999993</v>
      </c>
      <c r="F790" s="85"/>
      <c r="G790" s="85"/>
      <c r="H790" s="85"/>
      <c r="I790" s="88">
        <v>46.872</v>
      </c>
      <c r="J790" s="44" t="s">
        <v>27</v>
      </c>
    </row>
    <row r="791" spans="1:10" x14ac:dyDescent="0.25">
      <c r="A791" s="51"/>
      <c r="B791" s="83"/>
      <c r="C791" s="83"/>
      <c r="D791" s="84" t="s">
        <v>656</v>
      </c>
      <c r="E791" s="85">
        <f>12.24*2.8</f>
        <v>34.271999999999998</v>
      </c>
      <c r="F791" s="85"/>
      <c r="G791" s="85"/>
      <c r="H791" s="85"/>
      <c r="I791" s="88">
        <v>34.271999999999998</v>
      </c>
      <c r="J791" s="44" t="s">
        <v>27</v>
      </c>
    </row>
    <row r="792" spans="1:10" x14ac:dyDescent="0.25">
      <c r="A792" s="51"/>
      <c r="B792" s="83"/>
      <c r="C792" s="83"/>
      <c r="D792" s="84" t="s">
        <v>657</v>
      </c>
      <c r="E792" s="85">
        <f>17.4*2.8</f>
        <v>48.719999999999992</v>
      </c>
      <c r="F792" s="85"/>
      <c r="G792" s="85"/>
      <c r="H792" s="85"/>
      <c r="I792" s="88">
        <v>48.72</v>
      </c>
      <c r="J792" s="44" t="s">
        <v>27</v>
      </c>
    </row>
    <row r="793" spans="1:10" x14ac:dyDescent="0.25">
      <c r="A793" s="51"/>
      <c r="B793" s="83"/>
      <c r="C793" s="83"/>
      <c r="D793" s="84" t="s">
        <v>658</v>
      </c>
      <c r="E793" s="85">
        <f>25.24*2.8</f>
        <v>70.671999999999997</v>
      </c>
      <c r="F793" s="85"/>
      <c r="G793" s="85"/>
      <c r="H793" s="85"/>
      <c r="I793" s="88">
        <v>70.671999999999997</v>
      </c>
      <c r="J793" s="44" t="s">
        <v>27</v>
      </c>
    </row>
    <row r="794" spans="1:10" x14ac:dyDescent="0.25">
      <c r="A794" s="51"/>
      <c r="B794" s="83"/>
      <c r="C794" s="83"/>
      <c r="D794" s="84" t="s">
        <v>659</v>
      </c>
      <c r="E794" s="85">
        <f>18.84*2.8</f>
        <v>52.751999999999995</v>
      </c>
      <c r="F794" s="85"/>
      <c r="G794" s="85"/>
      <c r="H794" s="85"/>
      <c r="I794" s="88">
        <v>52.752000000000002</v>
      </c>
      <c r="J794" s="44" t="s">
        <v>27</v>
      </c>
    </row>
    <row r="795" spans="1:10" s="73" customFormat="1" x14ac:dyDescent="0.25">
      <c r="A795" s="89"/>
      <c r="B795" s="90"/>
      <c r="C795" s="90"/>
      <c r="D795" s="91" t="s">
        <v>660</v>
      </c>
      <c r="E795" s="92">
        <f>236.4</f>
        <v>236.4</v>
      </c>
      <c r="F795" s="92"/>
      <c r="G795" s="92"/>
      <c r="H795" s="92"/>
      <c r="I795" s="93">
        <v>-236.4</v>
      </c>
      <c r="J795" s="94" t="s">
        <v>27</v>
      </c>
    </row>
    <row r="796" spans="1:10" x14ac:dyDescent="0.25">
      <c r="A796" s="51"/>
      <c r="B796" s="83"/>
      <c r="C796" s="83"/>
      <c r="D796" s="84" t="s">
        <v>661</v>
      </c>
      <c r="E796" s="85">
        <f>26.45*2.8</f>
        <v>74.059999999999988</v>
      </c>
      <c r="F796" s="85"/>
      <c r="G796" s="85"/>
      <c r="H796" s="85"/>
      <c r="I796" s="88">
        <v>74.06</v>
      </c>
      <c r="J796" s="44" t="s">
        <v>27</v>
      </c>
    </row>
    <row r="797" spans="1:10" x14ac:dyDescent="0.25">
      <c r="A797" s="51"/>
      <c r="B797" s="83"/>
      <c r="C797" s="83"/>
      <c r="D797" s="84" t="s">
        <v>662</v>
      </c>
      <c r="E797" s="85">
        <f>7*2.8</f>
        <v>19.599999999999998</v>
      </c>
      <c r="F797" s="85"/>
      <c r="G797" s="85"/>
      <c r="H797" s="85"/>
      <c r="I797" s="88">
        <v>19.600000000000001</v>
      </c>
      <c r="J797" s="44" t="s">
        <v>27</v>
      </c>
    </row>
    <row r="798" spans="1:10" x14ac:dyDescent="0.25">
      <c r="A798" s="51"/>
      <c r="B798" s="83"/>
      <c r="C798" s="83"/>
      <c r="D798" s="84" t="s">
        <v>663</v>
      </c>
      <c r="E798" s="85">
        <f>26.45*2.8</f>
        <v>74.059999999999988</v>
      </c>
      <c r="F798" s="85"/>
      <c r="G798" s="85"/>
      <c r="H798" s="85"/>
      <c r="I798" s="88">
        <v>74.06</v>
      </c>
      <c r="J798" s="44" t="s">
        <v>27</v>
      </c>
    </row>
    <row r="799" spans="1:10" x14ac:dyDescent="0.25">
      <c r="A799" s="51"/>
      <c r="B799" s="83"/>
      <c r="C799" s="83"/>
      <c r="D799" s="84" t="s">
        <v>664</v>
      </c>
      <c r="E799" s="85">
        <f>35*2.8</f>
        <v>98</v>
      </c>
      <c r="F799" s="85"/>
      <c r="G799" s="85"/>
      <c r="H799" s="85"/>
      <c r="I799" s="88">
        <v>98</v>
      </c>
      <c r="J799" s="44" t="s">
        <v>27</v>
      </c>
    </row>
    <row r="800" spans="1:10" x14ac:dyDescent="0.25">
      <c r="A800" s="51"/>
      <c r="B800" s="83"/>
      <c r="C800" s="83"/>
      <c r="D800" s="84" t="s">
        <v>665</v>
      </c>
      <c r="E800" s="85">
        <f>12*2.8</f>
        <v>33.599999999999994</v>
      </c>
      <c r="F800" s="85"/>
      <c r="G800" s="85"/>
      <c r="H800" s="85"/>
      <c r="I800" s="88">
        <v>33.6</v>
      </c>
      <c r="J800" s="44" t="s">
        <v>27</v>
      </c>
    </row>
    <row r="801" spans="1:10" x14ac:dyDescent="0.25">
      <c r="A801" s="51"/>
      <c r="B801" s="83"/>
      <c r="C801" s="83"/>
      <c r="D801" s="84" t="s">
        <v>666</v>
      </c>
      <c r="E801" s="85">
        <f>18.94*2.8</f>
        <v>53.032000000000004</v>
      </c>
      <c r="F801" s="85"/>
      <c r="G801" s="85"/>
      <c r="H801" s="85"/>
      <c r="I801" s="88">
        <v>53.031999999999996</v>
      </c>
      <c r="J801" s="44" t="s">
        <v>27</v>
      </c>
    </row>
    <row r="802" spans="1:10" x14ac:dyDescent="0.25">
      <c r="A802" s="51"/>
      <c r="B802" s="83"/>
      <c r="C802" s="83"/>
      <c r="D802" s="84" t="s">
        <v>667</v>
      </c>
      <c r="E802" s="85">
        <f>10.02*2.8</f>
        <v>28.055999999999997</v>
      </c>
      <c r="F802" s="85"/>
      <c r="G802" s="85"/>
      <c r="H802" s="85"/>
      <c r="I802" s="88">
        <v>28.056000000000001</v>
      </c>
      <c r="J802" s="44" t="s">
        <v>27</v>
      </c>
    </row>
    <row r="803" spans="1:10" x14ac:dyDescent="0.25">
      <c r="A803" s="51"/>
      <c r="B803" s="83"/>
      <c r="C803" s="83"/>
      <c r="D803" s="84" t="s">
        <v>657</v>
      </c>
      <c r="E803" s="85">
        <f>17.2*2.8</f>
        <v>48.16</v>
      </c>
      <c r="F803" s="85"/>
      <c r="G803" s="85"/>
      <c r="H803" s="85"/>
      <c r="I803" s="88">
        <v>48.16</v>
      </c>
      <c r="J803" s="44" t="s">
        <v>27</v>
      </c>
    </row>
    <row r="804" spans="1:10" x14ac:dyDescent="0.25">
      <c r="A804" s="51"/>
      <c r="B804" s="83"/>
      <c r="C804" s="83"/>
      <c r="D804" s="84" t="s">
        <v>668</v>
      </c>
      <c r="E804" s="85">
        <f>30.2*2.8</f>
        <v>84.559999999999988</v>
      </c>
      <c r="F804" s="85"/>
      <c r="G804" s="85"/>
      <c r="H804" s="85"/>
      <c r="I804" s="88">
        <v>84.56</v>
      </c>
      <c r="J804" s="44" t="s">
        <v>27</v>
      </c>
    </row>
    <row r="805" spans="1:10" x14ac:dyDescent="0.25">
      <c r="A805" s="51"/>
      <c r="B805" s="83"/>
      <c r="C805" s="83"/>
      <c r="D805" s="84" t="s">
        <v>669</v>
      </c>
      <c r="E805" s="85">
        <f>7*2.8</f>
        <v>19.599999999999998</v>
      </c>
      <c r="F805" s="85"/>
      <c r="G805" s="85"/>
      <c r="H805" s="85"/>
      <c r="I805" s="88">
        <v>19.600000000000001</v>
      </c>
      <c r="J805" s="44" t="s">
        <v>27</v>
      </c>
    </row>
    <row r="806" spans="1:10" ht="26.4" x14ac:dyDescent="0.25">
      <c r="A806" s="51"/>
      <c r="B806" s="83"/>
      <c r="C806" s="83"/>
      <c r="D806" s="84" t="s">
        <v>670</v>
      </c>
      <c r="E806" s="85">
        <f>17.6*2.8</f>
        <v>49.28</v>
      </c>
      <c r="F806" s="85"/>
      <c r="G806" s="85"/>
      <c r="H806" s="85"/>
      <c r="I806" s="88">
        <v>49.28</v>
      </c>
      <c r="J806" s="44" t="s">
        <v>27</v>
      </c>
    </row>
    <row r="807" spans="1:10" x14ac:dyDescent="0.25">
      <c r="A807" s="51"/>
      <c r="B807" s="83"/>
      <c r="C807" s="83"/>
      <c r="D807" s="84" t="s">
        <v>671</v>
      </c>
      <c r="E807" s="85">
        <f>35*2.8</f>
        <v>98</v>
      </c>
      <c r="F807" s="85"/>
      <c r="G807" s="85"/>
      <c r="H807" s="85"/>
      <c r="I807" s="88">
        <v>98</v>
      </c>
      <c r="J807" s="44" t="s">
        <v>27</v>
      </c>
    </row>
    <row r="808" spans="1:10" ht="26.4" x14ac:dyDescent="0.25">
      <c r="A808" s="39" t="s">
        <v>672</v>
      </c>
      <c r="B808" s="16" t="s">
        <v>673</v>
      </c>
      <c r="C808" s="16" t="s">
        <v>43</v>
      </c>
      <c r="D808" s="17" t="s">
        <v>674</v>
      </c>
      <c r="E808" s="16" t="s">
        <v>23</v>
      </c>
      <c r="F808" s="27">
        <v>1486.7850000000001</v>
      </c>
      <c r="G808" s="67">
        <v>90.36</v>
      </c>
      <c r="H808" s="67">
        <v>108.97</v>
      </c>
      <c r="I808" s="18">
        <v>162014.96</v>
      </c>
      <c r="J808" s="40">
        <v>9.2563496185914529E-3</v>
      </c>
    </row>
    <row r="809" spans="1:10" x14ac:dyDescent="0.25">
      <c r="A809" s="43" t="s">
        <v>24</v>
      </c>
      <c r="B809" s="83"/>
      <c r="C809" s="83"/>
      <c r="D809" s="84" t="s">
        <v>3</v>
      </c>
      <c r="E809" s="85" t="s">
        <v>25</v>
      </c>
      <c r="F809" s="85"/>
      <c r="G809" s="85"/>
      <c r="H809" s="86"/>
      <c r="I809" s="87" t="s">
        <v>1911</v>
      </c>
      <c r="J809" s="44"/>
    </row>
    <row r="810" spans="1:10" x14ac:dyDescent="0.25">
      <c r="A810" s="51"/>
      <c r="B810" s="83"/>
      <c r="C810" s="83"/>
      <c r="D810" s="84" t="s">
        <v>675</v>
      </c>
      <c r="E810" s="85">
        <f>20.08*1.1</f>
        <v>22.088000000000001</v>
      </c>
      <c r="F810" s="85"/>
      <c r="G810" s="85"/>
      <c r="H810" s="85"/>
      <c r="I810" s="88">
        <v>22.088000000000001</v>
      </c>
      <c r="J810" s="44" t="s">
        <v>27</v>
      </c>
    </row>
    <row r="811" spans="1:10" x14ac:dyDescent="0.25">
      <c r="A811" s="51"/>
      <c r="B811" s="83"/>
      <c r="C811" s="83"/>
      <c r="D811" s="84" t="s">
        <v>676</v>
      </c>
      <c r="E811" s="85">
        <f>360*1.1  +  (9*4)</f>
        <v>432.00000000000006</v>
      </c>
      <c r="F811" s="85"/>
      <c r="G811" s="85"/>
      <c r="H811" s="85"/>
      <c r="I811" s="88">
        <v>432</v>
      </c>
      <c r="J811" s="44" t="s">
        <v>27</v>
      </c>
    </row>
    <row r="812" spans="1:10" x14ac:dyDescent="0.25">
      <c r="A812" s="51"/>
      <c r="B812" s="83"/>
      <c r="C812" s="83"/>
      <c r="D812" s="84" t="s">
        <v>677</v>
      </c>
      <c r="E812" s="85">
        <f>13*1.1</f>
        <v>14.3</v>
      </c>
      <c r="F812" s="85"/>
      <c r="G812" s="85"/>
      <c r="H812" s="85"/>
      <c r="I812" s="88">
        <v>14.3</v>
      </c>
      <c r="J812" s="44" t="s">
        <v>27</v>
      </c>
    </row>
    <row r="813" spans="1:10" x14ac:dyDescent="0.25">
      <c r="A813" s="51"/>
      <c r="B813" s="83"/>
      <c r="C813" s="83"/>
      <c r="D813" s="84" t="s">
        <v>678</v>
      </c>
      <c r="E813" s="85">
        <f>11.34*1.1</f>
        <v>12.474</v>
      </c>
      <c r="F813" s="85"/>
      <c r="G813" s="85"/>
      <c r="H813" s="85"/>
      <c r="I813" s="88">
        <v>12.474</v>
      </c>
      <c r="J813" s="44" t="s">
        <v>27</v>
      </c>
    </row>
    <row r="814" spans="1:10" x14ac:dyDescent="0.25">
      <c r="A814" s="51"/>
      <c r="B814" s="83"/>
      <c r="C814" s="83"/>
      <c r="D814" s="84" t="s">
        <v>679</v>
      </c>
      <c r="E814" s="85">
        <f>28.3*1.1</f>
        <v>31.130000000000003</v>
      </c>
      <c r="F814" s="85"/>
      <c r="G814" s="85"/>
      <c r="H814" s="85"/>
      <c r="I814" s="88">
        <v>31.13</v>
      </c>
      <c r="J814" s="44" t="s">
        <v>27</v>
      </c>
    </row>
    <row r="815" spans="1:10" x14ac:dyDescent="0.25">
      <c r="A815" s="51"/>
      <c r="B815" s="83"/>
      <c r="C815" s="83"/>
      <c r="D815" s="84" t="s">
        <v>680</v>
      </c>
      <c r="E815" s="85">
        <f>240*1.1</f>
        <v>264</v>
      </c>
      <c r="F815" s="85"/>
      <c r="G815" s="85"/>
      <c r="H815" s="85"/>
      <c r="I815" s="88">
        <v>264</v>
      </c>
      <c r="J815" s="44" t="s">
        <v>27</v>
      </c>
    </row>
    <row r="816" spans="1:10" x14ac:dyDescent="0.25">
      <c r="A816" s="51"/>
      <c r="B816" s="83"/>
      <c r="C816" s="83"/>
      <c r="D816" s="84" t="s">
        <v>681</v>
      </c>
      <c r="E816" s="85">
        <f>17.18*1.1</f>
        <v>18.898</v>
      </c>
      <c r="F816" s="85"/>
      <c r="G816" s="85"/>
      <c r="H816" s="85"/>
      <c r="I816" s="88">
        <v>18.898</v>
      </c>
      <c r="J816" s="44" t="s">
        <v>27</v>
      </c>
    </row>
    <row r="817" spans="1:10" x14ac:dyDescent="0.25">
      <c r="A817" s="51"/>
      <c r="B817" s="83"/>
      <c r="C817" s="83"/>
      <c r="D817" s="84" t="s">
        <v>682</v>
      </c>
      <c r="E817" s="85">
        <f>32*1.1*25</f>
        <v>880.00000000000011</v>
      </c>
      <c r="F817" s="85"/>
      <c r="G817" s="85"/>
      <c r="H817" s="85"/>
      <c r="I817" s="88">
        <v>880</v>
      </c>
      <c r="J817" s="44" t="s">
        <v>27</v>
      </c>
    </row>
    <row r="818" spans="1:10" x14ac:dyDescent="0.25">
      <c r="A818" s="51"/>
      <c r="B818" s="83"/>
      <c r="C818" s="83"/>
      <c r="D818" s="84" t="s">
        <v>683</v>
      </c>
      <c r="E818" s="85">
        <f>14.2*1.1</f>
        <v>15.620000000000001</v>
      </c>
      <c r="F818" s="85"/>
      <c r="G818" s="85"/>
      <c r="H818" s="85"/>
      <c r="I818" s="88">
        <v>15.62</v>
      </c>
      <c r="J818" s="44" t="s">
        <v>27</v>
      </c>
    </row>
    <row r="819" spans="1:10" x14ac:dyDescent="0.25">
      <c r="A819" s="51"/>
      <c r="B819" s="83"/>
      <c r="C819" s="83"/>
      <c r="D819" s="84" t="s">
        <v>684</v>
      </c>
      <c r="E819" s="85">
        <f>10.02*1.1</f>
        <v>11.022</v>
      </c>
      <c r="F819" s="85"/>
      <c r="G819" s="85"/>
      <c r="H819" s="85"/>
      <c r="I819" s="88">
        <v>11.022</v>
      </c>
      <c r="J819" s="44" t="s">
        <v>27</v>
      </c>
    </row>
    <row r="820" spans="1:10" x14ac:dyDescent="0.25">
      <c r="A820" s="51"/>
      <c r="B820" s="83"/>
      <c r="C820" s="83"/>
      <c r="D820" s="84" t="s">
        <v>685</v>
      </c>
      <c r="E820" s="85">
        <f>48.16*1.1</f>
        <v>52.975999999999999</v>
      </c>
      <c r="F820" s="85"/>
      <c r="G820" s="85"/>
      <c r="H820" s="85"/>
      <c r="I820" s="88">
        <v>52.975999999999999</v>
      </c>
      <c r="J820" s="44" t="s">
        <v>27</v>
      </c>
    </row>
    <row r="821" spans="1:10" x14ac:dyDescent="0.25">
      <c r="A821" s="51"/>
      <c r="B821" s="83"/>
      <c r="C821" s="83"/>
      <c r="D821" s="84" t="s">
        <v>686</v>
      </c>
      <c r="E821" s="85">
        <f>18.73*1.1</f>
        <v>20.603000000000002</v>
      </c>
      <c r="F821" s="85"/>
      <c r="G821" s="85"/>
      <c r="H821" s="85"/>
      <c r="I821" s="88">
        <v>20.603000000000002</v>
      </c>
      <c r="J821" s="44" t="s">
        <v>27</v>
      </c>
    </row>
    <row r="822" spans="1:10" x14ac:dyDescent="0.25">
      <c r="A822" s="51"/>
      <c r="B822" s="83"/>
      <c r="C822" s="83"/>
      <c r="D822" s="84" t="s">
        <v>687</v>
      </c>
      <c r="E822" s="85">
        <f>23.9*1.1</f>
        <v>26.29</v>
      </c>
      <c r="F822" s="85"/>
      <c r="G822" s="85"/>
      <c r="H822" s="85"/>
      <c r="I822" s="88">
        <v>26.29</v>
      </c>
      <c r="J822" s="44" t="s">
        <v>27</v>
      </c>
    </row>
    <row r="823" spans="1:10" x14ac:dyDescent="0.25">
      <c r="A823" s="51"/>
      <c r="B823" s="83"/>
      <c r="C823" s="83"/>
      <c r="D823" s="84" t="s">
        <v>688</v>
      </c>
      <c r="E823" s="85">
        <f>32*1.1*6</f>
        <v>211.20000000000002</v>
      </c>
      <c r="F823" s="85"/>
      <c r="G823" s="85"/>
      <c r="H823" s="85"/>
      <c r="I823" s="88">
        <v>211.2</v>
      </c>
      <c r="J823" s="44" t="s">
        <v>27</v>
      </c>
    </row>
    <row r="824" spans="1:10" x14ac:dyDescent="0.25">
      <c r="A824" s="51"/>
      <c r="B824" s="83"/>
      <c r="C824" s="83"/>
      <c r="D824" s="84" t="s">
        <v>689</v>
      </c>
      <c r="E824" s="85">
        <f>23.04*1.1</f>
        <v>25.344000000000001</v>
      </c>
      <c r="F824" s="85"/>
      <c r="G824" s="85"/>
      <c r="H824" s="85"/>
      <c r="I824" s="88">
        <v>25.344000000000001</v>
      </c>
      <c r="J824" s="44" t="s">
        <v>27</v>
      </c>
    </row>
    <row r="825" spans="1:10" s="73" customFormat="1" x14ac:dyDescent="0.25">
      <c r="A825" s="89"/>
      <c r="B825" s="90"/>
      <c r="C825" s="90"/>
      <c r="D825" s="91" t="s">
        <v>690</v>
      </c>
      <c r="E825" s="92">
        <f>551.16</f>
        <v>551.16</v>
      </c>
      <c r="F825" s="92"/>
      <c r="G825" s="92"/>
      <c r="H825" s="92"/>
      <c r="I825" s="93">
        <v>-551.16</v>
      </c>
      <c r="J825" s="94" t="s">
        <v>27</v>
      </c>
    </row>
    <row r="826" spans="1:10" ht="26.4" x14ac:dyDescent="0.25">
      <c r="A826" s="39" t="s">
        <v>691</v>
      </c>
      <c r="B826" s="16" t="s">
        <v>692</v>
      </c>
      <c r="C826" s="16" t="s">
        <v>43</v>
      </c>
      <c r="D826" s="17" t="s">
        <v>693</v>
      </c>
      <c r="E826" s="16" t="s">
        <v>23</v>
      </c>
      <c r="F826" s="27">
        <v>1486.7850000000001</v>
      </c>
      <c r="G826" s="67">
        <v>21.67</v>
      </c>
      <c r="H826" s="67">
        <v>26.13</v>
      </c>
      <c r="I826" s="18">
        <v>38849.69</v>
      </c>
      <c r="J826" s="40">
        <v>2.2195870875991708E-3</v>
      </c>
    </row>
    <row r="827" spans="1:10" x14ac:dyDescent="0.25">
      <c r="A827" s="43" t="s">
        <v>24</v>
      </c>
      <c r="B827" s="83"/>
      <c r="C827" s="83"/>
      <c r="D827" s="84" t="s">
        <v>3</v>
      </c>
      <c r="E827" s="85" t="s">
        <v>25</v>
      </c>
      <c r="F827" s="85"/>
      <c r="G827" s="85"/>
      <c r="H827" s="86"/>
      <c r="I827" s="87" t="s">
        <v>1911</v>
      </c>
      <c r="J827" s="44"/>
    </row>
    <row r="828" spans="1:10" x14ac:dyDescent="0.25">
      <c r="A828" s="51"/>
      <c r="B828" s="83"/>
      <c r="C828" s="83"/>
      <c r="D828" s="84" t="s">
        <v>694</v>
      </c>
      <c r="E828" s="85" t="e">
        <f>i.9.1.2</f>
        <v>#NAME?</v>
      </c>
      <c r="F828" s="85"/>
      <c r="G828" s="85"/>
      <c r="H828" s="85"/>
      <c r="I828" s="88">
        <v>1486.7850000000001</v>
      </c>
      <c r="J828" s="44" t="s">
        <v>27</v>
      </c>
    </row>
    <row r="829" spans="1:10" x14ac:dyDescent="0.25">
      <c r="A829" s="41" t="s">
        <v>695</v>
      </c>
      <c r="B829" s="13"/>
      <c r="C829" s="13"/>
      <c r="D829" s="14" t="s">
        <v>696</v>
      </c>
      <c r="E829" s="14"/>
      <c r="F829" s="26">
        <v>1</v>
      </c>
      <c r="G829" s="66"/>
      <c r="H829" s="66"/>
      <c r="I829" s="15">
        <v>163647.22</v>
      </c>
      <c r="J829" s="42">
        <v>9.3496050144415768E-3</v>
      </c>
    </row>
    <row r="830" spans="1:10" ht="52.8" x14ac:dyDescent="0.25">
      <c r="A830" s="39" t="s">
        <v>697</v>
      </c>
      <c r="B830" s="16" t="s">
        <v>265</v>
      </c>
      <c r="C830" s="16" t="s">
        <v>21</v>
      </c>
      <c r="D830" s="17" t="s">
        <v>266</v>
      </c>
      <c r="E830" s="16" t="s">
        <v>23</v>
      </c>
      <c r="F830" s="27">
        <v>364.36</v>
      </c>
      <c r="G830" s="67">
        <v>6.5</v>
      </c>
      <c r="H830" s="67">
        <v>7.83</v>
      </c>
      <c r="I830" s="18">
        <v>2852.93</v>
      </c>
      <c r="J830" s="40">
        <v>1.6299555002431945E-4</v>
      </c>
    </row>
    <row r="831" spans="1:10" x14ac:dyDescent="0.25">
      <c r="A831" s="43" t="s">
        <v>24</v>
      </c>
      <c r="B831" s="83"/>
      <c r="C831" s="83"/>
      <c r="D831" s="84" t="s">
        <v>3</v>
      </c>
      <c r="E831" s="85" t="s">
        <v>25</v>
      </c>
      <c r="F831" s="85"/>
      <c r="G831" s="85"/>
      <c r="H831" s="86"/>
      <c r="I831" s="87" t="s">
        <v>1911</v>
      </c>
      <c r="J831" s="44"/>
    </row>
    <row r="832" spans="1:10" x14ac:dyDescent="0.25">
      <c r="A832" s="51"/>
      <c r="B832" s="83"/>
      <c r="C832" s="83"/>
      <c r="D832" s="84" t="s">
        <v>698</v>
      </c>
      <c r="E832" s="85">
        <f>32.1*2</f>
        <v>64.2</v>
      </c>
      <c r="F832" s="85"/>
      <c r="G832" s="85"/>
      <c r="H832" s="85"/>
      <c r="I832" s="88">
        <v>64.2</v>
      </c>
      <c r="J832" s="44" t="s">
        <v>27</v>
      </c>
    </row>
    <row r="833" spans="1:10" x14ac:dyDescent="0.25">
      <c r="A833" s="51"/>
      <c r="B833" s="83"/>
      <c r="C833" s="83"/>
      <c r="D833" s="84" t="s">
        <v>699</v>
      </c>
      <c r="E833" s="85">
        <f>60.74*2</f>
        <v>121.48</v>
      </c>
      <c r="F833" s="85"/>
      <c r="G833" s="85"/>
      <c r="H833" s="85"/>
      <c r="I833" s="88">
        <v>121.48</v>
      </c>
      <c r="J833" s="44" t="s">
        <v>27</v>
      </c>
    </row>
    <row r="834" spans="1:10" x14ac:dyDescent="0.25">
      <c r="A834" s="51"/>
      <c r="B834" s="83"/>
      <c r="C834" s="83"/>
      <c r="D834" s="84" t="s">
        <v>700</v>
      </c>
      <c r="E834" s="85">
        <f>35.5*2</f>
        <v>71</v>
      </c>
      <c r="F834" s="85"/>
      <c r="G834" s="85"/>
      <c r="H834" s="85"/>
      <c r="I834" s="88">
        <v>71</v>
      </c>
      <c r="J834" s="44" t="s">
        <v>27</v>
      </c>
    </row>
    <row r="835" spans="1:10" ht="13.95" customHeight="1" x14ac:dyDescent="0.25">
      <c r="A835" s="51"/>
      <c r="B835" s="83"/>
      <c r="C835" s="83"/>
      <c r="D835" s="84" t="s">
        <v>701</v>
      </c>
      <c r="E835" s="85">
        <f>1.46*4*2</f>
        <v>11.68</v>
      </c>
      <c r="F835" s="85"/>
      <c r="G835" s="85"/>
      <c r="H835" s="85"/>
      <c r="I835" s="88">
        <v>11.68</v>
      </c>
      <c r="J835" s="44" t="s">
        <v>27</v>
      </c>
    </row>
    <row r="836" spans="1:10" ht="13.95" customHeight="1" x14ac:dyDescent="0.25">
      <c r="A836" s="51"/>
      <c r="B836" s="83"/>
      <c r="C836" s="83"/>
      <c r="D836" s="84" t="s">
        <v>702</v>
      </c>
      <c r="E836" s="85">
        <f>48*2</f>
        <v>96</v>
      </c>
      <c r="F836" s="85"/>
      <c r="G836" s="85"/>
      <c r="H836" s="85"/>
      <c r="I836" s="88">
        <v>96</v>
      </c>
      <c r="J836" s="44" t="s">
        <v>27</v>
      </c>
    </row>
    <row r="837" spans="1:10" ht="39.6" x14ac:dyDescent="0.25">
      <c r="A837" s="39" t="s">
        <v>703</v>
      </c>
      <c r="B837" s="16" t="s">
        <v>270</v>
      </c>
      <c r="C837" s="16" t="s">
        <v>21</v>
      </c>
      <c r="D837" s="17" t="s">
        <v>271</v>
      </c>
      <c r="E837" s="16" t="s">
        <v>23</v>
      </c>
      <c r="F837" s="27">
        <v>364.36</v>
      </c>
      <c r="G837" s="67">
        <v>43.24</v>
      </c>
      <c r="H837" s="67">
        <v>52.14</v>
      </c>
      <c r="I837" s="18">
        <v>18997.73</v>
      </c>
      <c r="J837" s="40">
        <v>1.085391317194433E-3</v>
      </c>
    </row>
    <row r="838" spans="1:10" ht="13.95" customHeight="1" x14ac:dyDescent="0.25">
      <c r="A838" s="43" t="s">
        <v>24</v>
      </c>
      <c r="B838" s="83"/>
      <c r="C838" s="83"/>
      <c r="D838" s="84" t="s">
        <v>3</v>
      </c>
      <c r="E838" s="85" t="s">
        <v>25</v>
      </c>
      <c r="F838" s="85"/>
      <c r="G838" s="85"/>
      <c r="H838" s="86"/>
      <c r="I838" s="87" t="s">
        <v>1911</v>
      </c>
      <c r="J838" s="44"/>
    </row>
    <row r="839" spans="1:10" x14ac:dyDescent="0.25">
      <c r="A839" s="51"/>
      <c r="B839" s="83"/>
      <c r="C839" s="83"/>
      <c r="D839" s="84" t="s">
        <v>704</v>
      </c>
      <c r="E839" s="85" t="e">
        <f>i.9.2.1</f>
        <v>#NAME?</v>
      </c>
      <c r="F839" s="85"/>
      <c r="G839" s="85"/>
      <c r="H839" s="85"/>
      <c r="I839" s="88">
        <v>364.36</v>
      </c>
      <c r="J839" s="44" t="s">
        <v>27</v>
      </c>
    </row>
    <row r="840" spans="1:10" ht="26.4" x14ac:dyDescent="0.25">
      <c r="A840" s="39" t="s">
        <v>705</v>
      </c>
      <c r="B840" s="16" t="s">
        <v>673</v>
      </c>
      <c r="C840" s="16" t="s">
        <v>43</v>
      </c>
      <c r="D840" s="17" t="s">
        <v>674</v>
      </c>
      <c r="E840" s="16" t="s">
        <v>23</v>
      </c>
      <c r="F840" s="27">
        <v>277.31</v>
      </c>
      <c r="G840" s="67">
        <v>90.36</v>
      </c>
      <c r="H840" s="67">
        <v>108.97</v>
      </c>
      <c r="I840" s="18">
        <v>30218.47</v>
      </c>
      <c r="J840" s="40">
        <v>1.7264623171768659E-3</v>
      </c>
    </row>
    <row r="841" spans="1:10" ht="13.95" customHeight="1" x14ac:dyDescent="0.25">
      <c r="A841" s="43" t="s">
        <v>24</v>
      </c>
      <c r="B841" s="83"/>
      <c r="C841" s="83"/>
      <c r="D841" s="84" t="s">
        <v>3</v>
      </c>
      <c r="E841" s="85" t="s">
        <v>25</v>
      </c>
      <c r="F841" s="85"/>
      <c r="G841" s="85"/>
      <c r="H841" s="86"/>
      <c r="I841" s="87" t="s">
        <v>1911</v>
      </c>
      <c r="J841" s="44"/>
    </row>
    <row r="842" spans="1:10" ht="13.95" customHeight="1" x14ac:dyDescent="0.25">
      <c r="A842" s="51"/>
      <c r="B842" s="83"/>
      <c r="C842" s="83"/>
      <c r="D842" s="84" t="s">
        <v>706</v>
      </c>
      <c r="E842" s="85">
        <f>252.1*1.1</f>
        <v>277.31</v>
      </c>
      <c r="F842" s="85"/>
      <c r="G842" s="85"/>
      <c r="H842" s="85"/>
      <c r="I842" s="88">
        <v>277.31</v>
      </c>
      <c r="J842" s="44" t="s">
        <v>27</v>
      </c>
    </row>
    <row r="843" spans="1:10" ht="26.4" x14ac:dyDescent="0.25">
      <c r="A843" s="39" t="s">
        <v>707</v>
      </c>
      <c r="B843" s="16" t="s">
        <v>692</v>
      </c>
      <c r="C843" s="16" t="s">
        <v>43</v>
      </c>
      <c r="D843" s="17" t="s">
        <v>693</v>
      </c>
      <c r="E843" s="16" t="s">
        <v>23</v>
      </c>
      <c r="F843" s="27">
        <v>277.31</v>
      </c>
      <c r="G843" s="67">
        <v>21.67</v>
      </c>
      <c r="H843" s="67">
        <v>26.13</v>
      </c>
      <c r="I843" s="18">
        <v>7246.11</v>
      </c>
      <c r="J843" s="40">
        <v>4.1398971758392996E-4</v>
      </c>
    </row>
    <row r="844" spans="1:10" ht="13.95" customHeight="1" x14ac:dyDescent="0.25">
      <c r="A844" s="43" t="s">
        <v>24</v>
      </c>
      <c r="B844" s="83"/>
      <c r="C844" s="83"/>
      <c r="D844" s="84" t="s">
        <v>3</v>
      </c>
      <c r="E844" s="85" t="s">
        <v>25</v>
      </c>
      <c r="F844" s="85"/>
      <c r="G844" s="85"/>
      <c r="H844" s="86"/>
      <c r="I844" s="87" t="s">
        <v>1911</v>
      </c>
      <c r="J844" s="44"/>
    </row>
    <row r="845" spans="1:10" ht="13.95" customHeight="1" x14ac:dyDescent="0.25">
      <c r="A845" s="51"/>
      <c r="B845" s="83"/>
      <c r="C845" s="83"/>
      <c r="D845" s="84" t="s">
        <v>706</v>
      </c>
      <c r="E845" s="85" t="e">
        <f>i.9.2.3</f>
        <v>#NAME?</v>
      </c>
      <c r="F845" s="85"/>
      <c r="G845" s="85"/>
      <c r="H845" s="85"/>
      <c r="I845" s="88">
        <v>277.31</v>
      </c>
      <c r="J845" s="44" t="s">
        <v>27</v>
      </c>
    </row>
    <row r="846" spans="1:10" ht="13.95" customHeight="1" x14ac:dyDescent="0.25">
      <c r="A846" s="39" t="s">
        <v>708</v>
      </c>
      <c r="B846" s="16" t="s">
        <v>709</v>
      </c>
      <c r="C846" s="16" t="s">
        <v>14</v>
      </c>
      <c r="D846" s="17" t="s">
        <v>710</v>
      </c>
      <c r="E846" s="16" t="s">
        <v>138</v>
      </c>
      <c r="F846" s="27">
        <v>796.54899999999998</v>
      </c>
      <c r="G846" s="67">
        <v>108.61</v>
      </c>
      <c r="H846" s="67">
        <v>130.97999999999999</v>
      </c>
      <c r="I846" s="18">
        <v>104331.98</v>
      </c>
      <c r="J846" s="40">
        <v>5.9607661124620286E-3</v>
      </c>
    </row>
    <row r="847" spans="1:10" x14ac:dyDescent="0.25">
      <c r="A847" s="43" t="s">
        <v>24</v>
      </c>
      <c r="B847" s="83"/>
      <c r="C847" s="83"/>
      <c r="D847" s="84" t="s">
        <v>3</v>
      </c>
      <c r="E847" s="85" t="s">
        <v>25</v>
      </c>
      <c r="F847" s="85"/>
      <c r="G847" s="85"/>
      <c r="H847" s="86"/>
      <c r="I847" s="87" t="s">
        <v>1911</v>
      </c>
      <c r="J847" s="44"/>
    </row>
    <row r="848" spans="1:10" ht="13.95" customHeight="1" x14ac:dyDescent="0.25">
      <c r="A848" s="51"/>
      <c r="B848" s="83"/>
      <c r="C848" s="83"/>
      <c r="D848" s="84" t="s">
        <v>711</v>
      </c>
      <c r="E848" s="85">
        <f>612.73*1.3</f>
        <v>796.54900000000009</v>
      </c>
      <c r="F848" s="85"/>
      <c r="G848" s="85"/>
      <c r="H848" s="85"/>
      <c r="I848" s="88">
        <v>796.54899999999998</v>
      </c>
      <c r="J848" s="44" t="s">
        <v>27</v>
      </c>
    </row>
    <row r="849" spans="1:10" ht="13.95" customHeight="1" x14ac:dyDescent="0.25">
      <c r="A849" s="41" t="s">
        <v>712</v>
      </c>
      <c r="B849" s="13"/>
      <c r="C849" s="13"/>
      <c r="D849" s="14" t="s">
        <v>713</v>
      </c>
      <c r="E849" s="14"/>
      <c r="F849" s="26">
        <v>1</v>
      </c>
      <c r="G849" s="66"/>
      <c r="H849" s="66"/>
      <c r="I849" s="15">
        <v>389973.72</v>
      </c>
      <c r="J849" s="42">
        <v>2.2280245567339523E-2</v>
      </c>
    </row>
    <row r="850" spans="1:10" ht="26.4" x14ac:dyDescent="0.25">
      <c r="A850" s="39" t="s">
        <v>714</v>
      </c>
      <c r="B850" s="16" t="s">
        <v>715</v>
      </c>
      <c r="C850" s="16" t="s">
        <v>21</v>
      </c>
      <c r="D850" s="17" t="s">
        <v>716</v>
      </c>
      <c r="E850" s="16" t="s">
        <v>23</v>
      </c>
      <c r="F850" s="27">
        <v>917.33</v>
      </c>
      <c r="G850" s="67">
        <v>65.59</v>
      </c>
      <c r="H850" s="67">
        <v>79.099999999999994</v>
      </c>
      <c r="I850" s="18">
        <v>72560.800000000003</v>
      </c>
      <c r="J850" s="40">
        <v>4.1455933044991069E-3</v>
      </c>
    </row>
    <row r="851" spans="1:10" x14ac:dyDescent="0.25">
      <c r="A851" s="43" t="s">
        <v>24</v>
      </c>
      <c r="B851" s="83"/>
      <c r="C851" s="83"/>
      <c r="D851" s="84" t="s">
        <v>3</v>
      </c>
      <c r="E851" s="85" t="s">
        <v>25</v>
      </c>
      <c r="F851" s="85"/>
      <c r="G851" s="85"/>
      <c r="H851" s="86"/>
      <c r="I851" s="87" t="s">
        <v>1911</v>
      </c>
      <c r="J851" s="44"/>
    </row>
    <row r="852" spans="1:10" ht="26.4" x14ac:dyDescent="0.25">
      <c r="A852" s="51"/>
      <c r="B852" s="83"/>
      <c r="C852" s="83"/>
      <c r="D852" s="84" t="s">
        <v>717</v>
      </c>
      <c r="E852" s="85">
        <f>917.33</f>
        <v>917.33</v>
      </c>
      <c r="F852" s="85"/>
      <c r="G852" s="85"/>
      <c r="H852" s="85"/>
      <c r="I852" s="88">
        <v>917.33</v>
      </c>
      <c r="J852" s="44" t="s">
        <v>27</v>
      </c>
    </row>
    <row r="853" spans="1:10" ht="52.8" x14ac:dyDescent="0.25">
      <c r="A853" s="39" t="s">
        <v>718</v>
      </c>
      <c r="B853" s="16" t="s">
        <v>719</v>
      </c>
      <c r="C853" s="16" t="s">
        <v>43</v>
      </c>
      <c r="D853" s="17" t="s">
        <v>720</v>
      </c>
      <c r="E853" s="16" t="s">
        <v>23</v>
      </c>
      <c r="F853" s="27">
        <v>2902.99</v>
      </c>
      <c r="G853" s="67">
        <v>90.67</v>
      </c>
      <c r="H853" s="67">
        <v>109.34</v>
      </c>
      <c r="I853" s="18">
        <v>317412.92</v>
      </c>
      <c r="J853" s="40">
        <v>1.8134652262840414E-2</v>
      </c>
    </row>
    <row r="854" spans="1:10" x14ac:dyDescent="0.25">
      <c r="A854" s="43" t="s">
        <v>24</v>
      </c>
      <c r="B854" s="83"/>
      <c r="C854" s="83"/>
      <c r="D854" s="84" t="s">
        <v>3</v>
      </c>
      <c r="E854" s="85" t="s">
        <v>25</v>
      </c>
      <c r="F854" s="85"/>
      <c r="G854" s="85"/>
      <c r="H854" s="86"/>
      <c r="I854" s="87" t="s">
        <v>1911</v>
      </c>
      <c r="J854" s="44"/>
    </row>
    <row r="855" spans="1:10" ht="26.4" x14ac:dyDescent="0.25">
      <c r="A855" s="51"/>
      <c r="B855" s="83"/>
      <c r="C855" s="83"/>
      <c r="D855" s="84" t="s">
        <v>717</v>
      </c>
      <c r="E855" s="85">
        <f>2902.99</f>
        <v>2902.99</v>
      </c>
      <c r="F855" s="85"/>
      <c r="G855" s="85"/>
      <c r="H855" s="85"/>
      <c r="I855" s="88">
        <v>2902.99</v>
      </c>
      <c r="J855" s="44" t="s">
        <v>27</v>
      </c>
    </row>
    <row r="856" spans="1:10" x14ac:dyDescent="0.25">
      <c r="A856" s="41" t="s">
        <v>721</v>
      </c>
      <c r="B856" s="13"/>
      <c r="C856" s="13"/>
      <c r="D856" s="14" t="s">
        <v>722</v>
      </c>
      <c r="E856" s="14"/>
      <c r="F856" s="26">
        <v>1</v>
      </c>
      <c r="G856" s="66"/>
      <c r="H856" s="66"/>
      <c r="I856" s="15">
        <v>893664.25</v>
      </c>
      <c r="J856" s="42">
        <v>5.1057437780043992E-2</v>
      </c>
    </row>
    <row r="857" spans="1:10" x14ac:dyDescent="0.25">
      <c r="A857" s="41" t="s">
        <v>723</v>
      </c>
      <c r="B857" s="13"/>
      <c r="C857" s="13"/>
      <c r="D857" s="14" t="s">
        <v>724</v>
      </c>
      <c r="E857" s="14"/>
      <c r="F857" s="26">
        <v>1</v>
      </c>
      <c r="G857" s="66"/>
      <c r="H857" s="66"/>
      <c r="I857" s="15">
        <v>752675.06</v>
      </c>
      <c r="J857" s="42">
        <v>4.3002346848428678E-2</v>
      </c>
    </row>
    <row r="858" spans="1:10" ht="39.6" x14ac:dyDescent="0.25">
      <c r="A858" s="39" t="s">
        <v>725</v>
      </c>
      <c r="B858" s="16" t="s">
        <v>726</v>
      </c>
      <c r="C858" s="16" t="s">
        <v>21</v>
      </c>
      <c r="D858" s="17" t="s">
        <v>727</v>
      </c>
      <c r="E858" s="16" t="s">
        <v>23</v>
      </c>
      <c r="F858" s="27">
        <v>4580.28</v>
      </c>
      <c r="G858" s="67">
        <v>33.51</v>
      </c>
      <c r="H858" s="67">
        <v>40.409999999999997</v>
      </c>
      <c r="I858" s="18">
        <v>185089.11</v>
      </c>
      <c r="J858" s="40">
        <v>1.057463775415512E-2</v>
      </c>
    </row>
    <row r="859" spans="1:10" x14ac:dyDescent="0.25">
      <c r="A859" s="43" t="s">
        <v>24</v>
      </c>
      <c r="B859" s="83"/>
      <c r="C859" s="83"/>
      <c r="D859" s="84" t="s">
        <v>3</v>
      </c>
      <c r="E859" s="85" t="s">
        <v>25</v>
      </c>
      <c r="F859" s="85"/>
      <c r="G859" s="85"/>
      <c r="H859" s="86"/>
      <c r="I859" s="87" t="s">
        <v>1911</v>
      </c>
      <c r="J859" s="44"/>
    </row>
    <row r="860" spans="1:10" x14ac:dyDescent="0.25">
      <c r="A860" s="51"/>
      <c r="B860" s="83"/>
      <c r="C860" s="83"/>
      <c r="D860" s="84" t="s">
        <v>728</v>
      </c>
      <c r="E860" s="85">
        <f>7.3</f>
        <v>7.3</v>
      </c>
      <c r="F860" s="85"/>
      <c r="G860" s="85"/>
      <c r="H860" s="85"/>
      <c r="I860" s="88">
        <v>7.3</v>
      </c>
      <c r="J860" s="44" t="s">
        <v>27</v>
      </c>
    </row>
    <row r="861" spans="1:10" x14ac:dyDescent="0.25">
      <c r="A861" s="51"/>
      <c r="B861" s="83"/>
      <c r="C861" s="83"/>
      <c r="D861" s="84" t="s">
        <v>729</v>
      </c>
      <c r="E861" s="85">
        <f>27.44</f>
        <v>27.44</v>
      </c>
      <c r="F861" s="85"/>
      <c r="G861" s="85"/>
      <c r="H861" s="85"/>
      <c r="I861" s="88">
        <v>27.44</v>
      </c>
      <c r="J861" s="44" t="s">
        <v>27</v>
      </c>
    </row>
    <row r="862" spans="1:10" x14ac:dyDescent="0.25">
      <c r="A862" s="51"/>
      <c r="B862" s="83"/>
      <c r="C862" s="83"/>
      <c r="D862" s="84" t="s">
        <v>730</v>
      </c>
      <c r="E862" s="85">
        <f>28.14</f>
        <v>28.14</v>
      </c>
      <c r="F862" s="85"/>
      <c r="G862" s="85"/>
      <c r="H862" s="85"/>
      <c r="I862" s="88">
        <v>28.14</v>
      </c>
      <c r="J862" s="44" t="s">
        <v>27</v>
      </c>
    </row>
    <row r="863" spans="1:10" x14ac:dyDescent="0.25">
      <c r="A863" s="51"/>
      <c r="B863" s="83"/>
      <c r="C863" s="83"/>
      <c r="D863" s="84" t="s">
        <v>731</v>
      </c>
      <c r="E863" s="85">
        <f>128.89</f>
        <v>128.88999999999999</v>
      </c>
      <c r="F863" s="85"/>
      <c r="G863" s="85"/>
      <c r="H863" s="85"/>
      <c r="I863" s="88">
        <v>128.88999999999999</v>
      </c>
      <c r="J863" s="44" t="s">
        <v>27</v>
      </c>
    </row>
    <row r="864" spans="1:10" x14ac:dyDescent="0.25">
      <c r="A864" s="51"/>
      <c r="B864" s="83"/>
      <c r="C864" s="83"/>
      <c r="D864" s="84" t="s">
        <v>732</v>
      </c>
      <c r="E864" s="85">
        <f>2.71</f>
        <v>2.71</v>
      </c>
      <c r="F864" s="85"/>
      <c r="G864" s="85"/>
      <c r="H864" s="85"/>
      <c r="I864" s="88">
        <v>2.71</v>
      </c>
      <c r="J864" s="44" t="s">
        <v>27</v>
      </c>
    </row>
    <row r="865" spans="1:10" x14ac:dyDescent="0.25">
      <c r="A865" s="51"/>
      <c r="B865" s="83"/>
      <c r="C865" s="83"/>
      <c r="D865" s="84" t="s">
        <v>733</v>
      </c>
      <c r="E865" s="85">
        <f>21.08</f>
        <v>21.08</v>
      </c>
      <c r="F865" s="85"/>
      <c r="G865" s="85"/>
      <c r="H865" s="85"/>
      <c r="I865" s="88">
        <v>21.08</v>
      </c>
      <c r="J865" s="44" t="s">
        <v>27</v>
      </c>
    </row>
    <row r="866" spans="1:10" x14ac:dyDescent="0.25">
      <c r="A866" s="51"/>
      <c r="B866" s="83"/>
      <c r="C866" s="83"/>
      <c r="D866" s="84" t="s">
        <v>734</v>
      </c>
      <c r="E866" s="85">
        <f>246.57</f>
        <v>246.57</v>
      </c>
      <c r="F866" s="85"/>
      <c r="G866" s="85"/>
      <c r="H866" s="85"/>
      <c r="I866" s="88">
        <v>246.57</v>
      </c>
      <c r="J866" s="44" t="s">
        <v>27</v>
      </c>
    </row>
    <row r="867" spans="1:10" ht="13.95" customHeight="1" x14ac:dyDescent="0.25">
      <c r="A867" s="51"/>
      <c r="B867" s="83"/>
      <c r="C867" s="83"/>
      <c r="D867" s="84" t="s">
        <v>735</v>
      </c>
      <c r="E867" s="85">
        <f>462</f>
        <v>462</v>
      </c>
      <c r="F867" s="85"/>
      <c r="G867" s="85"/>
      <c r="H867" s="85"/>
      <c r="I867" s="88">
        <v>462</v>
      </c>
      <c r="J867" s="44" t="s">
        <v>27</v>
      </c>
    </row>
    <row r="868" spans="1:10" x14ac:dyDescent="0.25">
      <c r="A868" s="51"/>
      <c r="B868" s="83"/>
      <c r="C868" s="83"/>
      <c r="D868" s="84" t="s">
        <v>736</v>
      </c>
      <c r="E868" s="85">
        <f>9.52</f>
        <v>9.52</v>
      </c>
      <c r="F868" s="85"/>
      <c r="G868" s="85"/>
      <c r="H868" s="85"/>
      <c r="I868" s="88">
        <v>9.52</v>
      </c>
      <c r="J868" s="44" t="s">
        <v>27</v>
      </c>
    </row>
    <row r="869" spans="1:10" x14ac:dyDescent="0.25">
      <c r="A869" s="51"/>
      <c r="B869" s="83"/>
      <c r="C869" s="83"/>
      <c r="D869" s="84" t="s">
        <v>737</v>
      </c>
      <c r="E869" s="85">
        <f>685.48</f>
        <v>685.48</v>
      </c>
      <c r="F869" s="85"/>
      <c r="G869" s="85"/>
      <c r="H869" s="85"/>
      <c r="I869" s="88">
        <v>685.48</v>
      </c>
      <c r="J869" s="44" t="s">
        <v>27</v>
      </c>
    </row>
    <row r="870" spans="1:10" x14ac:dyDescent="0.25">
      <c r="A870" s="51"/>
      <c r="B870" s="83"/>
      <c r="C870" s="83"/>
      <c r="D870" s="84" t="s">
        <v>729</v>
      </c>
      <c r="E870" s="85">
        <f>36</f>
        <v>36</v>
      </c>
      <c r="F870" s="85"/>
      <c r="G870" s="85"/>
      <c r="H870" s="85"/>
      <c r="I870" s="88">
        <v>36</v>
      </c>
      <c r="J870" s="44" t="s">
        <v>27</v>
      </c>
    </row>
    <row r="871" spans="1:10" x14ac:dyDescent="0.25">
      <c r="A871" s="51"/>
      <c r="B871" s="83"/>
      <c r="C871" s="83"/>
      <c r="D871" s="84" t="s">
        <v>738</v>
      </c>
      <c r="E871" s="85">
        <f>352</f>
        <v>352</v>
      </c>
      <c r="F871" s="85"/>
      <c r="G871" s="85"/>
      <c r="H871" s="85"/>
      <c r="I871" s="88">
        <v>352</v>
      </c>
      <c r="J871" s="44" t="s">
        <v>27</v>
      </c>
    </row>
    <row r="872" spans="1:10" x14ac:dyDescent="0.25">
      <c r="A872" s="51"/>
      <c r="B872" s="83"/>
      <c r="C872" s="83"/>
      <c r="D872" s="84" t="s">
        <v>739</v>
      </c>
      <c r="E872" s="85">
        <f>13.89+24.07+10.58+24.07</f>
        <v>72.61</v>
      </c>
      <c r="F872" s="85"/>
      <c r="G872" s="85"/>
      <c r="H872" s="85"/>
      <c r="I872" s="88">
        <v>72.61</v>
      </c>
      <c r="J872" s="44" t="s">
        <v>27</v>
      </c>
    </row>
    <row r="873" spans="1:10" x14ac:dyDescent="0.25">
      <c r="A873" s="51"/>
      <c r="B873" s="83"/>
      <c r="C873" s="83"/>
      <c r="D873" s="84" t="s">
        <v>740</v>
      </c>
      <c r="E873" s="85">
        <f>59.9*25</f>
        <v>1497.5</v>
      </c>
      <c r="F873" s="85"/>
      <c r="G873" s="85"/>
      <c r="H873" s="85"/>
      <c r="I873" s="88">
        <v>1497.5</v>
      </c>
      <c r="J873" s="44" t="s">
        <v>27</v>
      </c>
    </row>
    <row r="874" spans="1:10" x14ac:dyDescent="0.25">
      <c r="A874" s="51"/>
      <c r="B874" s="83"/>
      <c r="C874" s="83"/>
      <c r="D874" s="84" t="s">
        <v>741</v>
      </c>
      <c r="E874" s="85">
        <f>9.68</f>
        <v>9.68</v>
      </c>
      <c r="F874" s="85"/>
      <c r="G874" s="85"/>
      <c r="H874" s="85"/>
      <c r="I874" s="88">
        <v>9.68</v>
      </c>
      <c r="J874" s="44" t="s">
        <v>27</v>
      </c>
    </row>
    <row r="875" spans="1:10" x14ac:dyDescent="0.25">
      <c r="A875" s="51"/>
      <c r="B875" s="83"/>
      <c r="C875" s="83"/>
      <c r="D875" s="84" t="s">
        <v>742</v>
      </c>
      <c r="E875" s="85">
        <f>8.12+20.7+12.32+5.08+8.11+7.47+34.65+21.5+18.26+9.06+9.24</f>
        <v>154.51</v>
      </c>
      <c r="F875" s="85"/>
      <c r="G875" s="85"/>
      <c r="H875" s="85"/>
      <c r="I875" s="88">
        <v>154.51</v>
      </c>
      <c r="J875" s="44" t="s">
        <v>27</v>
      </c>
    </row>
    <row r="876" spans="1:10" x14ac:dyDescent="0.25">
      <c r="A876" s="51"/>
      <c r="B876" s="83"/>
      <c r="C876" s="83"/>
      <c r="D876" s="84" t="s">
        <v>743</v>
      </c>
      <c r="E876" s="85">
        <f>2.71</f>
        <v>2.71</v>
      </c>
      <c r="F876" s="85"/>
      <c r="G876" s="85"/>
      <c r="H876" s="85"/>
      <c r="I876" s="88">
        <v>2.71</v>
      </c>
      <c r="J876" s="44" t="s">
        <v>27</v>
      </c>
    </row>
    <row r="877" spans="1:10" x14ac:dyDescent="0.25">
      <c r="A877" s="51"/>
      <c r="B877" s="83"/>
      <c r="C877" s="83"/>
      <c r="D877" s="84" t="s">
        <v>744</v>
      </c>
      <c r="E877" s="85">
        <f>4.66</f>
        <v>4.66</v>
      </c>
      <c r="F877" s="85"/>
      <c r="G877" s="85"/>
      <c r="H877" s="85"/>
      <c r="I877" s="88">
        <v>4.66</v>
      </c>
      <c r="J877" s="44" t="s">
        <v>27</v>
      </c>
    </row>
    <row r="878" spans="1:10" x14ac:dyDescent="0.25">
      <c r="A878" s="51"/>
      <c r="B878" s="83"/>
      <c r="C878" s="83"/>
      <c r="D878" s="84" t="s">
        <v>745</v>
      </c>
      <c r="E878" s="85">
        <f>4.9</f>
        <v>4.9000000000000004</v>
      </c>
      <c r="F878" s="85"/>
      <c r="G878" s="85"/>
      <c r="H878" s="85"/>
      <c r="I878" s="88">
        <v>4.9000000000000004</v>
      </c>
      <c r="J878" s="44" t="s">
        <v>27</v>
      </c>
    </row>
    <row r="879" spans="1:10" x14ac:dyDescent="0.25">
      <c r="A879" s="51"/>
      <c r="B879" s="83"/>
      <c r="C879" s="83"/>
      <c r="D879" s="84" t="s">
        <v>746</v>
      </c>
      <c r="E879" s="85">
        <f>9.68</f>
        <v>9.68</v>
      </c>
      <c r="F879" s="85"/>
      <c r="G879" s="85"/>
      <c r="H879" s="85"/>
      <c r="I879" s="88">
        <v>9.68</v>
      </c>
      <c r="J879" s="44" t="s">
        <v>27</v>
      </c>
    </row>
    <row r="880" spans="1:10" x14ac:dyDescent="0.25">
      <c r="A880" s="51"/>
      <c r="B880" s="83"/>
      <c r="C880" s="83"/>
      <c r="D880" s="84" t="s">
        <v>747</v>
      </c>
      <c r="E880" s="85">
        <f>18.44</f>
        <v>18.440000000000001</v>
      </c>
      <c r="F880" s="85"/>
      <c r="G880" s="85"/>
      <c r="H880" s="85"/>
      <c r="I880" s="88">
        <v>18.440000000000001</v>
      </c>
      <c r="J880" s="44" t="s">
        <v>27</v>
      </c>
    </row>
    <row r="881" spans="1:10" x14ac:dyDescent="0.25">
      <c r="A881" s="51"/>
      <c r="B881" s="83"/>
      <c r="C881" s="83"/>
      <c r="D881" s="84" t="s">
        <v>748</v>
      </c>
      <c r="E881" s="85">
        <f>8.51</f>
        <v>8.51</v>
      </c>
      <c r="F881" s="85"/>
      <c r="G881" s="85"/>
      <c r="H881" s="85"/>
      <c r="I881" s="88">
        <v>8.51</v>
      </c>
      <c r="J881" s="44" t="s">
        <v>27</v>
      </c>
    </row>
    <row r="882" spans="1:10" x14ac:dyDescent="0.25">
      <c r="A882" s="51"/>
      <c r="B882" s="83"/>
      <c r="C882" s="83"/>
      <c r="D882" s="84" t="s">
        <v>749</v>
      </c>
      <c r="E882" s="85">
        <f>28.52</f>
        <v>28.52</v>
      </c>
      <c r="F882" s="85"/>
      <c r="G882" s="85"/>
      <c r="H882" s="85"/>
      <c r="I882" s="88">
        <v>28.52</v>
      </c>
      <c r="J882" s="44" t="s">
        <v>27</v>
      </c>
    </row>
    <row r="883" spans="1:10" x14ac:dyDescent="0.25">
      <c r="A883" s="51"/>
      <c r="B883" s="83"/>
      <c r="C883" s="83"/>
      <c r="D883" s="84" t="s">
        <v>750</v>
      </c>
      <c r="E883" s="85">
        <f>9.24</f>
        <v>9.24</v>
      </c>
      <c r="F883" s="85"/>
      <c r="G883" s="85"/>
      <c r="H883" s="85"/>
      <c r="I883" s="88">
        <v>9.24</v>
      </c>
      <c r="J883" s="44" t="s">
        <v>27</v>
      </c>
    </row>
    <row r="884" spans="1:10" x14ac:dyDescent="0.25">
      <c r="A884" s="51"/>
      <c r="B884" s="83"/>
      <c r="C884" s="83"/>
      <c r="D884" s="84" t="s">
        <v>751</v>
      </c>
      <c r="E884" s="85">
        <f>115.58</f>
        <v>115.58</v>
      </c>
      <c r="F884" s="85"/>
      <c r="G884" s="85"/>
      <c r="H884" s="85"/>
      <c r="I884" s="88">
        <v>115.58</v>
      </c>
      <c r="J884" s="44" t="s">
        <v>27</v>
      </c>
    </row>
    <row r="885" spans="1:10" x14ac:dyDescent="0.25">
      <c r="A885" s="51"/>
      <c r="B885" s="83"/>
      <c r="C885" s="83"/>
      <c r="D885" s="84" t="s">
        <v>752</v>
      </c>
      <c r="E885" s="85">
        <f>10.5</f>
        <v>10.5</v>
      </c>
      <c r="F885" s="85"/>
      <c r="G885" s="85"/>
      <c r="H885" s="85"/>
      <c r="I885" s="88">
        <v>10.5</v>
      </c>
      <c r="J885" s="44" t="s">
        <v>27</v>
      </c>
    </row>
    <row r="886" spans="1:10" x14ac:dyDescent="0.25">
      <c r="A886" s="51"/>
      <c r="B886" s="83"/>
      <c r="C886" s="83"/>
      <c r="D886" s="84" t="s">
        <v>753</v>
      </c>
      <c r="E886" s="85">
        <f>35.9</f>
        <v>35.9</v>
      </c>
      <c r="F886" s="85"/>
      <c r="G886" s="85"/>
      <c r="H886" s="85"/>
      <c r="I886" s="88">
        <v>35.9</v>
      </c>
      <c r="J886" s="44" t="s">
        <v>27</v>
      </c>
    </row>
    <row r="887" spans="1:10" x14ac:dyDescent="0.25">
      <c r="A887" s="51"/>
      <c r="B887" s="83"/>
      <c r="C887" s="83"/>
      <c r="D887" s="84" t="s">
        <v>754</v>
      </c>
      <c r="E887" s="85">
        <f>35.52</f>
        <v>35.520000000000003</v>
      </c>
      <c r="F887" s="85"/>
      <c r="G887" s="85"/>
      <c r="H887" s="85"/>
      <c r="I887" s="88">
        <v>35.520000000000003</v>
      </c>
      <c r="J887" s="44" t="s">
        <v>27</v>
      </c>
    </row>
    <row r="888" spans="1:10" x14ac:dyDescent="0.25">
      <c r="A888" s="51"/>
      <c r="B888" s="83"/>
      <c r="C888" s="83"/>
      <c r="D888" s="84" t="s">
        <v>755</v>
      </c>
      <c r="E888" s="85">
        <f>8.82</f>
        <v>8.82</v>
      </c>
      <c r="F888" s="85"/>
      <c r="G888" s="85"/>
      <c r="H888" s="85"/>
      <c r="I888" s="88">
        <v>8.82</v>
      </c>
      <c r="J888" s="44" t="s">
        <v>27</v>
      </c>
    </row>
    <row r="889" spans="1:10" x14ac:dyDescent="0.25">
      <c r="A889" s="51"/>
      <c r="B889" s="83"/>
      <c r="C889" s="83"/>
      <c r="D889" s="84" t="s">
        <v>756</v>
      </c>
      <c r="E889" s="85">
        <f>6.23</f>
        <v>6.23</v>
      </c>
      <c r="F889" s="85"/>
      <c r="G889" s="85"/>
      <c r="H889" s="85"/>
      <c r="I889" s="88">
        <v>6.23</v>
      </c>
      <c r="J889" s="44" t="s">
        <v>27</v>
      </c>
    </row>
    <row r="890" spans="1:10" x14ac:dyDescent="0.25">
      <c r="A890" s="51"/>
      <c r="B890" s="83"/>
      <c r="C890" s="83"/>
      <c r="D890" s="84" t="s">
        <v>757</v>
      </c>
      <c r="E890" s="85">
        <f>129.29</f>
        <v>129.29</v>
      </c>
      <c r="F890" s="85"/>
      <c r="G890" s="85"/>
      <c r="H890" s="85"/>
      <c r="I890" s="88">
        <v>129.29</v>
      </c>
      <c r="J890" s="44" t="s">
        <v>27</v>
      </c>
    </row>
    <row r="891" spans="1:10" x14ac:dyDescent="0.25">
      <c r="A891" s="51"/>
      <c r="B891" s="83"/>
      <c r="C891" s="83"/>
      <c r="D891" s="84" t="s">
        <v>758</v>
      </c>
      <c r="E891" s="85">
        <f>59.9*6</f>
        <v>359.4</v>
      </c>
      <c r="F891" s="85"/>
      <c r="G891" s="85"/>
      <c r="H891" s="85"/>
      <c r="I891" s="88">
        <v>359.4</v>
      </c>
      <c r="J891" s="44" t="s">
        <v>27</v>
      </c>
    </row>
    <row r="892" spans="1:10" x14ac:dyDescent="0.25">
      <c r="A892" s="51"/>
      <c r="B892" s="83"/>
      <c r="C892" s="83"/>
      <c r="D892" s="84" t="s">
        <v>759</v>
      </c>
      <c r="E892" s="85">
        <f>12.58</f>
        <v>12.58</v>
      </c>
      <c r="F892" s="85"/>
      <c r="G892" s="85"/>
      <c r="H892" s="85"/>
      <c r="I892" s="88">
        <v>12.58</v>
      </c>
      <c r="J892" s="44" t="s">
        <v>27</v>
      </c>
    </row>
    <row r="893" spans="1:10" x14ac:dyDescent="0.25">
      <c r="A893" s="51"/>
      <c r="B893" s="83"/>
      <c r="C893" s="83"/>
      <c r="D893" s="84" t="s">
        <v>760</v>
      </c>
      <c r="E893" s="85">
        <f>38.37</f>
        <v>38.369999999999997</v>
      </c>
      <c r="F893" s="85"/>
      <c r="G893" s="85"/>
      <c r="H893" s="85"/>
      <c r="I893" s="88">
        <v>38.369999999999997</v>
      </c>
      <c r="J893" s="44" t="s">
        <v>27</v>
      </c>
    </row>
    <row r="894" spans="1:10" ht="39.6" x14ac:dyDescent="0.25">
      <c r="A894" s="39" t="s">
        <v>761</v>
      </c>
      <c r="B894" s="16" t="s">
        <v>762</v>
      </c>
      <c r="C894" s="16" t="s">
        <v>56</v>
      </c>
      <c r="D894" s="17" t="s">
        <v>763</v>
      </c>
      <c r="E894" s="16" t="s">
        <v>23</v>
      </c>
      <c r="F894" s="27">
        <v>4580.28</v>
      </c>
      <c r="G894" s="67">
        <v>55.04</v>
      </c>
      <c r="H894" s="67">
        <v>66.37</v>
      </c>
      <c r="I894" s="18">
        <v>303993.18</v>
      </c>
      <c r="J894" s="40">
        <v>1.7367946489308166E-2</v>
      </c>
    </row>
    <row r="895" spans="1:10" x14ac:dyDescent="0.25">
      <c r="A895" s="43" t="s">
        <v>24</v>
      </c>
      <c r="B895" s="83"/>
      <c r="C895" s="83"/>
      <c r="D895" s="84" t="s">
        <v>3</v>
      </c>
      <c r="E895" s="85" t="s">
        <v>25</v>
      </c>
      <c r="F895" s="85"/>
      <c r="G895" s="85"/>
      <c r="H895" s="86"/>
      <c r="I895" s="87" t="s">
        <v>1911</v>
      </c>
      <c r="J895" s="44"/>
    </row>
    <row r="896" spans="1:10" x14ac:dyDescent="0.25">
      <c r="A896" s="51"/>
      <c r="B896" s="83"/>
      <c r="C896" s="83"/>
      <c r="D896" s="84" t="s">
        <v>764</v>
      </c>
      <c r="E896" s="85" t="s">
        <v>1929</v>
      </c>
      <c r="F896" s="85"/>
      <c r="G896" s="85"/>
      <c r="H896" s="85"/>
      <c r="I896" s="88">
        <v>4580.28</v>
      </c>
      <c r="J896" s="44" t="s">
        <v>27</v>
      </c>
    </row>
    <row r="897" spans="1:10" ht="26.4" x14ac:dyDescent="0.25">
      <c r="A897" s="39" t="s">
        <v>765</v>
      </c>
      <c r="B897" s="16" t="s">
        <v>766</v>
      </c>
      <c r="C897" s="16" t="s">
        <v>21</v>
      </c>
      <c r="D897" s="17" t="s">
        <v>767</v>
      </c>
      <c r="E897" s="16" t="s">
        <v>52</v>
      </c>
      <c r="F897" s="27">
        <v>63.98</v>
      </c>
      <c r="G897" s="67">
        <v>103.09</v>
      </c>
      <c r="H897" s="67">
        <v>124.32</v>
      </c>
      <c r="I897" s="18">
        <v>7953.99</v>
      </c>
      <c r="J897" s="40">
        <v>4.5443280239540983E-4</v>
      </c>
    </row>
    <row r="898" spans="1:10" x14ac:dyDescent="0.25">
      <c r="A898" s="43" t="s">
        <v>24</v>
      </c>
      <c r="B898" s="83"/>
      <c r="C898" s="83"/>
      <c r="D898" s="84" t="s">
        <v>3</v>
      </c>
      <c r="E898" s="85" t="s">
        <v>25</v>
      </c>
      <c r="F898" s="85"/>
      <c r="G898" s="85"/>
      <c r="H898" s="86"/>
      <c r="I898" s="87" t="s">
        <v>1911</v>
      </c>
      <c r="J898" s="44"/>
    </row>
    <row r="899" spans="1:10" x14ac:dyDescent="0.25">
      <c r="A899" s="51"/>
      <c r="B899" s="83"/>
      <c r="C899" s="83"/>
      <c r="D899" s="84" t="s">
        <v>538</v>
      </c>
      <c r="E899" s="85">
        <f>0.9*8</f>
        <v>7.2</v>
      </c>
      <c r="F899" s="85"/>
      <c r="G899" s="85"/>
      <c r="H899" s="85"/>
      <c r="I899" s="88">
        <v>7.2</v>
      </c>
      <c r="J899" s="44" t="s">
        <v>27</v>
      </c>
    </row>
    <row r="900" spans="1:10" x14ac:dyDescent="0.25">
      <c r="A900" s="51"/>
      <c r="B900" s="83"/>
      <c r="C900" s="83"/>
      <c r="D900" s="84" t="s">
        <v>768</v>
      </c>
      <c r="E900" s="85">
        <f>0.9*36</f>
        <v>32.4</v>
      </c>
      <c r="F900" s="85"/>
      <c r="G900" s="85"/>
      <c r="H900" s="85"/>
      <c r="I900" s="88">
        <v>32.4</v>
      </c>
      <c r="J900" s="44" t="s">
        <v>27</v>
      </c>
    </row>
    <row r="901" spans="1:10" x14ac:dyDescent="0.25">
      <c r="A901" s="51"/>
      <c r="B901" s="83"/>
      <c r="C901" s="83"/>
      <c r="D901" s="84" t="s">
        <v>769</v>
      </c>
      <c r="E901" s="85">
        <f>0.9*3</f>
        <v>2.7</v>
      </c>
      <c r="F901" s="85"/>
      <c r="G901" s="85"/>
      <c r="H901" s="85"/>
      <c r="I901" s="88">
        <v>2.7</v>
      </c>
      <c r="J901" s="44" t="s">
        <v>27</v>
      </c>
    </row>
    <row r="902" spans="1:10" x14ac:dyDescent="0.25">
      <c r="A902" s="51"/>
      <c r="B902" s="83"/>
      <c r="C902" s="83"/>
      <c r="D902" s="84" t="s">
        <v>770</v>
      </c>
      <c r="E902" s="85">
        <f>0.9*1</f>
        <v>0.9</v>
      </c>
      <c r="F902" s="85"/>
      <c r="G902" s="85"/>
      <c r="H902" s="85"/>
      <c r="I902" s="88">
        <v>0.9</v>
      </c>
      <c r="J902" s="44" t="s">
        <v>27</v>
      </c>
    </row>
    <row r="903" spans="1:10" x14ac:dyDescent="0.25">
      <c r="A903" s="51"/>
      <c r="B903" s="83"/>
      <c r="C903" s="83"/>
      <c r="D903" s="84" t="s">
        <v>771</v>
      </c>
      <c r="E903" s="85">
        <f>1.38*1</f>
        <v>1.38</v>
      </c>
      <c r="F903" s="85"/>
      <c r="G903" s="85"/>
      <c r="H903" s="85"/>
      <c r="I903" s="88">
        <v>1.38</v>
      </c>
      <c r="J903" s="44" t="s">
        <v>27</v>
      </c>
    </row>
    <row r="904" spans="1:10" x14ac:dyDescent="0.25">
      <c r="A904" s="51"/>
      <c r="B904" s="83"/>
      <c r="C904" s="83"/>
      <c r="D904" s="84" t="s">
        <v>772</v>
      </c>
      <c r="E904" s="85">
        <f>0.9*18</f>
        <v>16.2</v>
      </c>
      <c r="F904" s="85"/>
      <c r="G904" s="85"/>
      <c r="H904" s="85"/>
      <c r="I904" s="88">
        <v>16.2</v>
      </c>
      <c r="J904" s="44" t="s">
        <v>27</v>
      </c>
    </row>
    <row r="905" spans="1:10" x14ac:dyDescent="0.25">
      <c r="A905" s="51"/>
      <c r="B905" s="83"/>
      <c r="C905" s="83"/>
      <c r="D905" s="84" t="s">
        <v>773</v>
      </c>
      <c r="E905" s="85">
        <f>1.6*2</f>
        <v>3.2</v>
      </c>
      <c r="F905" s="85"/>
      <c r="G905" s="85"/>
      <c r="H905" s="85"/>
      <c r="I905" s="88">
        <v>3.2</v>
      </c>
      <c r="J905" s="44" t="s">
        <v>27</v>
      </c>
    </row>
    <row r="906" spans="1:10" ht="39.6" x14ac:dyDescent="0.25">
      <c r="A906" s="39" t="s">
        <v>774</v>
      </c>
      <c r="B906" s="16" t="s">
        <v>775</v>
      </c>
      <c r="C906" s="16" t="s">
        <v>21</v>
      </c>
      <c r="D906" s="17" t="s">
        <v>776</v>
      </c>
      <c r="E906" s="16" t="s">
        <v>66</v>
      </c>
      <c r="F906" s="27">
        <v>160.035</v>
      </c>
      <c r="G906" s="67">
        <v>485.48</v>
      </c>
      <c r="H906" s="67">
        <v>585.48</v>
      </c>
      <c r="I906" s="18">
        <v>93697.29</v>
      </c>
      <c r="J906" s="40">
        <v>5.3531777223199189E-3</v>
      </c>
    </row>
    <row r="907" spans="1:10" x14ac:dyDescent="0.25">
      <c r="A907" s="43" t="s">
        <v>24</v>
      </c>
      <c r="B907" s="83"/>
      <c r="C907" s="83"/>
      <c r="D907" s="84" t="s">
        <v>3</v>
      </c>
      <c r="E907" s="85" t="s">
        <v>25</v>
      </c>
      <c r="F907" s="85"/>
      <c r="G907" s="85"/>
      <c r="H907" s="86"/>
      <c r="I907" s="87" t="s">
        <v>1911</v>
      </c>
      <c r="J907" s="44"/>
    </row>
    <row r="908" spans="1:10" ht="26.4" x14ac:dyDescent="0.25">
      <c r="A908" s="51"/>
      <c r="B908" s="83"/>
      <c r="C908" s="83"/>
      <c r="D908" s="84" t="s">
        <v>777</v>
      </c>
      <c r="E908" s="85">
        <f>(746.77+470.08+67.63+62.89+252.98)*0.1</f>
        <v>160.03500000000003</v>
      </c>
      <c r="F908" s="85"/>
      <c r="G908" s="85"/>
      <c r="H908" s="85"/>
      <c r="I908" s="88">
        <v>160.035</v>
      </c>
      <c r="J908" s="44" t="s">
        <v>27</v>
      </c>
    </row>
    <row r="909" spans="1:10" ht="26.4" x14ac:dyDescent="0.25">
      <c r="A909" s="39" t="s">
        <v>778</v>
      </c>
      <c r="B909" s="16" t="s">
        <v>779</v>
      </c>
      <c r="C909" s="16" t="s">
        <v>21</v>
      </c>
      <c r="D909" s="17" t="s">
        <v>780</v>
      </c>
      <c r="E909" s="16" t="s">
        <v>23</v>
      </c>
      <c r="F909" s="27">
        <v>1600.35</v>
      </c>
      <c r="G909" s="67">
        <v>40.74</v>
      </c>
      <c r="H909" s="67">
        <v>49.13</v>
      </c>
      <c r="I909" s="18">
        <v>78625.19</v>
      </c>
      <c r="J909" s="40">
        <v>4.4920681859760385E-3</v>
      </c>
    </row>
    <row r="910" spans="1:10" x14ac:dyDescent="0.25">
      <c r="A910" s="43" t="s">
        <v>24</v>
      </c>
      <c r="B910" s="83"/>
      <c r="C910" s="83"/>
      <c r="D910" s="84" t="s">
        <v>3</v>
      </c>
      <c r="E910" s="85" t="s">
        <v>25</v>
      </c>
      <c r="F910" s="85"/>
      <c r="G910" s="85"/>
      <c r="H910" s="86"/>
      <c r="I910" s="87" t="s">
        <v>1911</v>
      </c>
      <c r="J910" s="44"/>
    </row>
    <row r="911" spans="1:10" ht="26.4" x14ac:dyDescent="0.25">
      <c r="A911" s="51"/>
      <c r="B911" s="83"/>
      <c r="C911" s="83"/>
      <c r="D911" s="84" t="s">
        <v>781</v>
      </c>
      <c r="E911" s="85">
        <f>(746.77+470.08+67.63+62.89+252.98)</f>
        <v>1600.3500000000001</v>
      </c>
      <c r="F911" s="85"/>
      <c r="G911" s="85"/>
      <c r="H911" s="85"/>
      <c r="I911" s="88">
        <v>1600.35</v>
      </c>
      <c r="J911" s="44" t="s">
        <v>27</v>
      </c>
    </row>
    <row r="912" spans="1:10" ht="26.4" x14ac:dyDescent="0.25">
      <c r="A912" s="39" t="s">
        <v>782</v>
      </c>
      <c r="B912" s="16" t="s">
        <v>378</v>
      </c>
      <c r="C912" s="16" t="s">
        <v>21</v>
      </c>
      <c r="D912" s="17" t="s">
        <v>379</v>
      </c>
      <c r="E912" s="16" t="s">
        <v>23</v>
      </c>
      <c r="F912" s="27">
        <v>1600.35</v>
      </c>
      <c r="G912" s="67">
        <v>2.35</v>
      </c>
      <c r="H912" s="67">
        <v>2.83</v>
      </c>
      <c r="I912" s="18">
        <v>4528.99</v>
      </c>
      <c r="J912" s="40">
        <v>2.5875335746220287E-4</v>
      </c>
    </row>
    <row r="913" spans="1:10" x14ac:dyDescent="0.25">
      <c r="A913" s="43" t="s">
        <v>24</v>
      </c>
      <c r="B913" s="83"/>
      <c r="C913" s="83"/>
      <c r="D913" s="84" t="s">
        <v>3</v>
      </c>
      <c r="E913" s="85" t="s">
        <v>25</v>
      </c>
      <c r="F913" s="85"/>
      <c r="G913" s="85"/>
      <c r="H913" s="86"/>
      <c r="I913" s="87" t="s">
        <v>1911</v>
      </c>
      <c r="J913" s="44"/>
    </row>
    <row r="914" spans="1:10" ht="26.4" x14ac:dyDescent="0.25">
      <c r="A914" s="51"/>
      <c r="B914" s="83"/>
      <c r="C914" s="83"/>
      <c r="D914" s="84" t="s">
        <v>783</v>
      </c>
      <c r="E914" s="85">
        <f>1600.35</f>
        <v>1600.35</v>
      </c>
      <c r="F914" s="85"/>
      <c r="G914" s="85"/>
      <c r="H914" s="85"/>
      <c r="I914" s="88">
        <v>1600.35</v>
      </c>
      <c r="J914" s="44" t="s">
        <v>27</v>
      </c>
    </row>
    <row r="915" spans="1:10" ht="26.4" x14ac:dyDescent="0.25">
      <c r="A915" s="39" t="s">
        <v>784</v>
      </c>
      <c r="B915" s="16" t="s">
        <v>381</v>
      </c>
      <c r="C915" s="16" t="s">
        <v>21</v>
      </c>
      <c r="D915" s="17" t="s">
        <v>382</v>
      </c>
      <c r="E915" s="16" t="s">
        <v>89</v>
      </c>
      <c r="F915" s="27">
        <v>4977.0884999999998</v>
      </c>
      <c r="G915" s="67">
        <v>13.13</v>
      </c>
      <c r="H915" s="67">
        <v>15.83</v>
      </c>
      <c r="I915" s="18">
        <v>78787.31</v>
      </c>
      <c r="J915" s="40">
        <v>4.5013305368118263E-3</v>
      </c>
    </row>
    <row r="916" spans="1:10" x14ac:dyDescent="0.25">
      <c r="A916" s="43" t="s">
        <v>24</v>
      </c>
      <c r="B916" s="83"/>
      <c r="C916" s="83"/>
      <c r="D916" s="84" t="s">
        <v>3</v>
      </c>
      <c r="E916" s="85" t="s">
        <v>25</v>
      </c>
      <c r="F916" s="85"/>
      <c r="G916" s="85"/>
      <c r="H916" s="86"/>
      <c r="I916" s="87" t="s">
        <v>1911</v>
      </c>
      <c r="J916" s="44"/>
    </row>
    <row r="917" spans="1:10" ht="26.4" x14ac:dyDescent="0.25">
      <c r="A917" s="51"/>
      <c r="B917" s="83"/>
      <c r="C917" s="83"/>
      <c r="D917" s="84" t="s">
        <v>783</v>
      </c>
      <c r="E917" s="85">
        <f>1600.35*3.11</f>
        <v>4977.0884999999998</v>
      </c>
      <c r="F917" s="85"/>
      <c r="G917" s="85"/>
      <c r="H917" s="85"/>
      <c r="I917" s="88">
        <v>4977.0884999999998</v>
      </c>
      <c r="J917" s="44" t="s">
        <v>27</v>
      </c>
    </row>
    <row r="918" spans="1:10" x14ac:dyDescent="0.25">
      <c r="A918" s="41" t="s">
        <v>785</v>
      </c>
      <c r="B918" s="13"/>
      <c r="C918" s="13"/>
      <c r="D918" s="14" t="s">
        <v>786</v>
      </c>
      <c r="E918" s="14"/>
      <c r="F918" s="26">
        <v>1</v>
      </c>
      <c r="G918" s="66"/>
      <c r="H918" s="66"/>
      <c r="I918" s="15">
        <v>140989.19</v>
      </c>
      <c r="J918" s="42">
        <v>8.0550909316153135E-3</v>
      </c>
    </row>
    <row r="919" spans="1:10" ht="52.8" x14ac:dyDescent="0.25">
      <c r="A919" s="39" t="s">
        <v>787</v>
      </c>
      <c r="B919" s="16" t="s">
        <v>788</v>
      </c>
      <c r="C919" s="16" t="s">
        <v>21</v>
      </c>
      <c r="D919" s="17" t="s">
        <v>789</v>
      </c>
      <c r="E919" s="16" t="s">
        <v>52</v>
      </c>
      <c r="F919" s="27">
        <v>117.6</v>
      </c>
      <c r="G919" s="67">
        <v>45.72</v>
      </c>
      <c r="H919" s="67">
        <v>55.13</v>
      </c>
      <c r="I919" s="18">
        <v>6483.28</v>
      </c>
      <c r="J919" s="40">
        <v>3.7040719175082101E-4</v>
      </c>
    </row>
    <row r="920" spans="1:10" x14ac:dyDescent="0.25">
      <c r="A920" s="43" t="s">
        <v>24</v>
      </c>
      <c r="B920" s="83"/>
      <c r="C920" s="83"/>
      <c r="D920" s="84" t="s">
        <v>3</v>
      </c>
      <c r="E920" s="85" t="s">
        <v>25</v>
      </c>
      <c r="F920" s="85"/>
      <c r="G920" s="85"/>
      <c r="H920" s="86"/>
      <c r="I920" s="87" t="s">
        <v>1911</v>
      </c>
      <c r="J920" s="44"/>
    </row>
    <row r="921" spans="1:10" x14ac:dyDescent="0.25">
      <c r="A921" s="51"/>
      <c r="B921" s="83"/>
      <c r="C921" s="83"/>
      <c r="D921" s="84" t="s">
        <v>790</v>
      </c>
      <c r="E921" s="85">
        <f>117.6</f>
        <v>117.6</v>
      </c>
      <c r="F921" s="85"/>
      <c r="G921" s="85"/>
      <c r="H921" s="85"/>
      <c r="I921" s="88">
        <v>117.6</v>
      </c>
      <c r="J921" s="44" t="s">
        <v>27</v>
      </c>
    </row>
    <row r="922" spans="1:10" ht="39.6" x14ac:dyDescent="0.25">
      <c r="A922" s="39" t="s">
        <v>791</v>
      </c>
      <c r="B922" s="16" t="s">
        <v>792</v>
      </c>
      <c r="C922" s="16" t="s">
        <v>21</v>
      </c>
      <c r="D922" s="17" t="s">
        <v>793</v>
      </c>
      <c r="E922" s="16" t="s">
        <v>23</v>
      </c>
      <c r="F922" s="27">
        <v>718.5</v>
      </c>
      <c r="G922" s="67">
        <v>74.959999999999994</v>
      </c>
      <c r="H922" s="67">
        <v>90.4</v>
      </c>
      <c r="I922" s="18">
        <v>64952.4</v>
      </c>
      <c r="J922" s="40">
        <v>3.7109049865925929E-3</v>
      </c>
    </row>
    <row r="923" spans="1:10" x14ac:dyDescent="0.25">
      <c r="A923" s="43" t="s">
        <v>24</v>
      </c>
      <c r="B923" s="83"/>
      <c r="C923" s="83"/>
      <c r="D923" s="84" t="s">
        <v>3</v>
      </c>
      <c r="E923" s="85" t="s">
        <v>25</v>
      </c>
      <c r="F923" s="85"/>
      <c r="G923" s="85"/>
      <c r="H923" s="86"/>
      <c r="I923" s="87" t="s">
        <v>1911</v>
      </c>
      <c r="J923" s="44"/>
    </row>
    <row r="924" spans="1:10" x14ac:dyDescent="0.25">
      <c r="A924" s="51"/>
      <c r="B924" s="83"/>
      <c r="C924" s="83"/>
      <c r="D924" s="84" t="s">
        <v>794</v>
      </c>
      <c r="E924" s="85">
        <f>718.5</f>
        <v>718.5</v>
      </c>
      <c r="F924" s="85"/>
      <c r="G924" s="85"/>
      <c r="H924" s="85"/>
      <c r="I924" s="88">
        <v>718.5</v>
      </c>
      <c r="J924" s="44" t="s">
        <v>27</v>
      </c>
    </row>
    <row r="925" spans="1:10" ht="39.6" x14ac:dyDescent="0.25">
      <c r="A925" s="39" t="s">
        <v>795</v>
      </c>
      <c r="B925" s="16" t="s">
        <v>796</v>
      </c>
      <c r="C925" s="16" t="s">
        <v>21</v>
      </c>
      <c r="D925" s="17" t="s">
        <v>797</v>
      </c>
      <c r="E925" s="16" t="s">
        <v>66</v>
      </c>
      <c r="F925" s="27">
        <v>59.534999999999997</v>
      </c>
      <c r="G925" s="67">
        <v>767.34</v>
      </c>
      <c r="H925" s="67">
        <v>925.41</v>
      </c>
      <c r="I925" s="18">
        <v>55094.28</v>
      </c>
      <c r="J925" s="40">
        <v>3.1476841253707108E-3</v>
      </c>
    </row>
    <row r="926" spans="1:10" x14ac:dyDescent="0.25">
      <c r="A926" s="43" t="s">
        <v>24</v>
      </c>
      <c r="B926" s="83"/>
      <c r="C926" s="83"/>
      <c r="D926" s="84" t="s">
        <v>3</v>
      </c>
      <c r="E926" s="85" t="s">
        <v>25</v>
      </c>
      <c r="F926" s="85"/>
      <c r="G926" s="85"/>
      <c r="H926" s="86"/>
      <c r="I926" s="87" t="s">
        <v>1911</v>
      </c>
      <c r="J926" s="44"/>
    </row>
    <row r="927" spans="1:10" ht="26.4" x14ac:dyDescent="0.25">
      <c r="A927" s="51"/>
      <c r="B927" s="83"/>
      <c r="C927" s="83"/>
      <c r="D927" s="84" t="s">
        <v>798</v>
      </c>
      <c r="E927" s="85">
        <f>850.5*0.07</f>
        <v>59.535000000000004</v>
      </c>
      <c r="F927" s="85"/>
      <c r="G927" s="85"/>
      <c r="H927" s="85"/>
      <c r="I927" s="88">
        <v>59.534999999999997</v>
      </c>
      <c r="J927" s="44" t="s">
        <v>27</v>
      </c>
    </row>
    <row r="928" spans="1:10" ht="26.4" x14ac:dyDescent="0.25">
      <c r="A928" s="39" t="s">
        <v>799</v>
      </c>
      <c r="B928" s="16" t="s">
        <v>800</v>
      </c>
      <c r="C928" s="16" t="s">
        <v>21</v>
      </c>
      <c r="D928" s="17" t="s">
        <v>801</v>
      </c>
      <c r="E928" s="16" t="s">
        <v>23</v>
      </c>
      <c r="F928" s="27">
        <v>452.7</v>
      </c>
      <c r="G928" s="67">
        <v>26.49</v>
      </c>
      <c r="H928" s="67">
        <v>31.94</v>
      </c>
      <c r="I928" s="18">
        <v>14459.23</v>
      </c>
      <c r="J928" s="40">
        <v>8.2609462790118947E-4</v>
      </c>
    </row>
    <row r="929" spans="1:10" x14ac:dyDescent="0.25">
      <c r="A929" s="43" t="s">
        <v>24</v>
      </c>
      <c r="B929" s="83"/>
      <c r="C929" s="83"/>
      <c r="D929" s="84" t="s">
        <v>3</v>
      </c>
      <c r="E929" s="85" t="s">
        <v>25</v>
      </c>
      <c r="F929" s="85"/>
      <c r="G929" s="85"/>
      <c r="H929" s="86"/>
      <c r="I929" s="87" t="s">
        <v>1911</v>
      </c>
      <c r="J929" s="44"/>
    </row>
    <row r="930" spans="1:10" x14ac:dyDescent="0.25">
      <c r="A930" s="51"/>
      <c r="B930" s="83"/>
      <c r="C930" s="83"/>
      <c r="D930" s="84" t="s">
        <v>802</v>
      </c>
      <c r="E930" s="85">
        <f>169.45+283.25</f>
        <v>452.7</v>
      </c>
      <c r="F930" s="85"/>
      <c r="G930" s="85"/>
      <c r="H930" s="85"/>
      <c r="I930" s="88">
        <v>452.7</v>
      </c>
      <c r="J930" s="44" t="s">
        <v>27</v>
      </c>
    </row>
    <row r="931" spans="1:10" x14ac:dyDescent="0.25">
      <c r="A931" s="41" t="s">
        <v>803</v>
      </c>
      <c r="B931" s="13"/>
      <c r="C931" s="13"/>
      <c r="D931" s="14" t="s">
        <v>804</v>
      </c>
      <c r="E931" s="14"/>
      <c r="F931" s="26">
        <v>1</v>
      </c>
      <c r="G931" s="66"/>
      <c r="H931" s="66"/>
      <c r="I931" s="15">
        <v>285844.2</v>
      </c>
      <c r="J931" s="42">
        <v>1.6331046538212143E-2</v>
      </c>
    </row>
    <row r="932" spans="1:10" ht="26.4" x14ac:dyDescent="0.25">
      <c r="A932" s="39" t="s">
        <v>805</v>
      </c>
      <c r="B932" s="16" t="s">
        <v>806</v>
      </c>
      <c r="C932" s="16" t="s">
        <v>21</v>
      </c>
      <c r="D932" s="17" t="s">
        <v>807</v>
      </c>
      <c r="E932" s="16" t="s">
        <v>23</v>
      </c>
      <c r="F932" s="27">
        <v>6297.5290000000005</v>
      </c>
      <c r="G932" s="67">
        <v>4.32</v>
      </c>
      <c r="H932" s="67">
        <v>5.2</v>
      </c>
      <c r="I932" s="18">
        <v>32747.15</v>
      </c>
      <c r="J932" s="40">
        <v>1.8709325942027643E-3</v>
      </c>
    </row>
    <row r="933" spans="1:10" x14ac:dyDescent="0.25">
      <c r="A933" s="43" t="s">
        <v>24</v>
      </c>
      <c r="B933" s="83"/>
      <c r="C933" s="83"/>
      <c r="D933" s="84" t="s">
        <v>3</v>
      </c>
      <c r="E933" s="85" t="s">
        <v>25</v>
      </c>
      <c r="F933" s="85"/>
      <c r="G933" s="85"/>
      <c r="H933" s="86"/>
      <c r="I933" s="87" t="s">
        <v>1911</v>
      </c>
      <c r="J933" s="44"/>
    </row>
    <row r="934" spans="1:10" ht="26.4" x14ac:dyDescent="0.25">
      <c r="A934" s="51"/>
      <c r="B934" s="83"/>
      <c r="C934" s="83"/>
      <c r="D934" s="84" t="s">
        <v>711</v>
      </c>
      <c r="E934" s="85">
        <f>612.73*1.3</f>
        <v>796.54900000000009</v>
      </c>
      <c r="F934" s="85"/>
      <c r="G934" s="85"/>
      <c r="H934" s="85"/>
      <c r="I934" s="88">
        <v>796.54899999999998</v>
      </c>
      <c r="J934" s="44" t="s">
        <v>27</v>
      </c>
    </row>
    <row r="935" spans="1:10" x14ac:dyDescent="0.25">
      <c r="A935" s="51"/>
      <c r="B935" s="83"/>
      <c r="C935" s="83"/>
      <c r="D935" s="84" t="s">
        <v>808</v>
      </c>
      <c r="E935" s="85">
        <f>214.14</f>
        <v>214.14</v>
      </c>
      <c r="F935" s="85"/>
      <c r="G935" s="85"/>
      <c r="H935" s="85"/>
      <c r="I935" s="88">
        <v>214.14</v>
      </c>
      <c r="J935" s="44" t="s">
        <v>27</v>
      </c>
    </row>
    <row r="936" spans="1:10" x14ac:dyDescent="0.25">
      <c r="A936" s="51"/>
      <c r="B936" s="83"/>
      <c r="C936" s="83"/>
      <c r="D936" s="84" t="s">
        <v>701</v>
      </c>
      <c r="E936" s="85">
        <f>11.68</f>
        <v>11.68</v>
      </c>
      <c r="F936" s="85"/>
      <c r="G936" s="85"/>
      <c r="H936" s="85"/>
      <c r="I936" s="88">
        <v>11.68</v>
      </c>
      <c r="J936" s="44" t="s">
        <v>27</v>
      </c>
    </row>
    <row r="937" spans="1:10" s="73" customFormat="1" x14ac:dyDescent="0.25">
      <c r="A937" s="89"/>
      <c r="B937" s="90"/>
      <c r="C937" s="90"/>
      <c r="D937" s="91" t="s">
        <v>809</v>
      </c>
      <c r="E937" s="92">
        <f>2962.78</f>
        <v>2962.78</v>
      </c>
      <c r="F937" s="92"/>
      <c r="G937" s="92"/>
      <c r="H937" s="92"/>
      <c r="I937" s="93">
        <v>-2962.78</v>
      </c>
      <c r="J937" s="94" t="s">
        <v>27</v>
      </c>
    </row>
    <row r="938" spans="1:10" ht="26.4" x14ac:dyDescent="0.25">
      <c r="A938" s="51"/>
      <c r="B938" s="83"/>
      <c r="C938" s="83"/>
      <c r="D938" s="84" t="s">
        <v>810</v>
      </c>
      <c r="E938" s="85">
        <f>3942.63*2</f>
        <v>7885.26</v>
      </c>
      <c r="F938" s="85"/>
      <c r="G938" s="85"/>
      <c r="H938" s="85"/>
      <c r="I938" s="88">
        <v>7885.26</v>
      </c>
      <c r="J938" s="44" t="s">
        <v>27</v>
      </c>
    </row>
    <row r="939" spans="1:10" x14ac:dyDescent="0.25">
      <c r="A939" s="51"/>
      <c r="B939" s="83"/>
      <c r="C939" s="83"/>
      <c r="D939" s="84" t="s">
        <v>702</v>
      </c>
      <c r="E939" s="85">
        <f>96</f>
        <v>96</v>
      </c>
      <c r="F939" s="85"/>
      <c r="G939" s="85"/>
      <c r="H939" s="85"/>
      <c r="I939" s="88">
        <v>96</v>
      </c>
      <c r="J939" s="44" t="s">
        <v>27</v>
      </c>
    </row>
    <row r="940" spans="1:10" x14ac:dyDescent="0.25">
      <c r="A940" s="51"/>
      <c r="B940" s="83"/>
      <c r="C940" s="83"/>
      <c r="D940" s="84" t="s">
        <v>811</v>
      </c>
      <c r="E940" s="85">
        <f>121.48+71+64.2</f>
        <v>256.68</v>
      </c>
      <c r="F940" s="85"/>
      <c r="G940" s="85"/>
      <c r="H940" s="85"/>
      <c r="I940" s="88">
        <v>256.68</v>
      </c>
      <c r="J940" s="44" t="s">
        <v>27</v>
      </c>
    </row>
    <row r="941" spans="1:10" ht="26.4" x14ac:dyDescent="0.25">
      <c r="A941" s="39" t="s">
        <v>812</v>
      </c>
      <c r="B941" s="16" t="s">
        <v>813</v>
      </c>
      <c r="C941" s="16" t="s">
        <v>14</v>
      </c>
      <c r="D941" s="17" t="s">
        <v>814</v>
      </c>
      <c r="E941" s="16" t="s">
        <v>138</v>
      </c>
      <c r="F941" s="27">
        <v>5179.16</v>
      </c>
      <c r="G941" s="67">
        <v>31.17</v>
      </c>
      <c r="H941" s="67">
        <v>37.590000000000003</v>
      </c>
      <c r="I941" s="18">
        <v>194684.62</v>
      </c>
      <c r="J941" s="40">
        <v>1.1122855001060531E-2</v>
      </c>
    </row>
    <row r="942" spans="1:10" x14ac:dyDescent="0.25">
      <c r="A942" s="43" t="s">
        <v>24</v>
      </c>
      <c r="B942" s="83"/>
      <c r="C942" s="83"/>
      <c r="D942" s="84" t="s">
        <v>3</v>
      </c>
      <c r="E942" s="85" t="s">
        <v>25</v>
      </c>
      <c r="F942" s="85"/>
      <c r="G942" s="85"/>
      <c r="H942" s="86"/>
      <c r="I942" s="87" t="s">
        <v>1911</v>
      </c>
      <c r="J942" s="44"/>
    </row>
    <row r="943" spans="1:10" x14ac:dyDescent="0.25">
      <c r="A943" s="51"/>
      <c r="B943" s="83"/>
      <c r="C943" s="83"/>
      <c r="D943" s="84" t="s">
        <v>815</v>
      </c>
      <c r="E943" s="85">
        <f>121.48+71+64.2</f>
        <v>256.68</v>
      </c>
      <c r="F943" s="85"/>
      <c r="G943" s="85"/>
      <c r="H943" s="85"/>
      <c r="I943" s="88">
        <v>256.68</v>
      </c>
      <c r="J943" s="44" t="s">
        <v>27</v>
      </c>
    </row>
    <row r="944" spans="1:10" ht="26.4" x14ac:dyDescent="0.25">
      <c r="A944" s="51"/>
      <c r="B944" s="83"/>
      <c r="C944" s="83"/>
      <c r="D944" s="84" t="s">
        <v>816</v>
      </c>
      <c r="E944" s="85">
        <f>3942.63*2</f>
        <v>7885.26</v>
      </c>
      <c r="F944" s="85"/>
      <c r="G944" s="85"/>
      <c r="H944" s="85"/>
      <c r="I944" s="88">
        <v>7885.26</v>
      </c>
      <c r="J944" s="44" t="s">
        <v>27</v>
      </c>
    </row>
    <row r="945" spans="1:10" s="73" customFormat="1" x14ac:dyDescent="0.25">
      <c r="A945" s="89"/>
      <c r="B945" s="90"/>
      <c r="C945" s="90"/>
      <c r="D945" s="91" t="s">
        <v>817</v>
      </c>
      <c r="E945" s="92">
        <f>2962.78</f>
        <v>2962.78</v>
      </c>
      <c r="F945" s="92"/>
      <c r="G945" s="92"/>
      <c r="H945" s="92"/>
      <c r="I945" s="93">
        <v>-2962.78</v>
      </c>
      <c r="J945" s="94" t="s">
        <v>27</v>
      </c>
    </row>
    <row r="946" spans="1:10" ht="26.4" x14ac:dyDescent="0.25">
      <c r="A946" s="39" t="s">
        <v>818</v>
      </c>
      <c r="B946" s="16" t="s">
        <v>819</v>
      </c>
      <c r="C946" s="16" t="s">
        <v>21</v>
      </c>
      <c r="D946" s="17" t="s">
        <v>820</v>
      </c>
      <c r="E946" s="16" t="s">
        <v>23</v>
      </c>
      <c r="F946" s="27">
        <v>2782.049</v>
      </c>
      <c r="G946" s="67">
        <v>13.25</v>
      </c>
      <c r="H946" s="67">
        <v>15.97</v>
      </c>
      <c r="I946" s="18">
        <v>44429.32</v>
      </c>
      <c r="J946" s="40">
        <v>2.5383663288641839E-3</v>
      </c>
    </row>
    <row r="947" spans="1:10" x14ac:dyDescent="0.25">
      <c r="A947" s="43" t="s">
        <v>24</v>
      </c>
      <c r="B947" s="83"/>
      <c r="C947" s="83"/>
      <c r="D947" s="84" t="s">
        <v>3</v>
      </c>
      <c r="E947" s="85" t="s">
        <v>25</v>
      </c>
      <c r="F947" s="85"/>
      <c r="G947" s="85"/>
      <c r="H947" s="86"/>
      <c r="I947" s="87" t="s">
        <v>1911</v>
      </c>
      <c r="J947" s="44"/>
    </row>
    <row r="948" spans="1:10" ht="26.4" x14ac:dyDescent="0.25">
      <c r="A948" s="51"/>
      <c r="B948" s="83"/>
      <c r="C948" s="83"/>
      <c r="D948" s="84" t="s">
        <v>821</v>
      </c>
      <c r="E948" s="85">
        <f>612.73*1.3</f>
        <v>796.54900000000009</v>
      </c>
      <c r="F948" s="85"/>
      <c r="G948" s="85"/>
      <c r="H948" s="85"/>
      <c r="I948" s="88">
        <v>796.54899999999998</v>
      </c>
      <c r="J948" s="44" t="s">
        <v>27</v>
      </c>
    </row>
    <row r="949" spans="1:10" ht="26.4" x14ac:dyDescent="0.25">
      <c r="A949" s="51"/>
      <c r="B949" s="83"/>
      <c r="C949" s="83"/>
      <c r="D949" s="84" t="s">
        <v>822</v>
      </c>
      <c r="E949" s="85">
        <f>1985.5</f>
        <v>1985.5</v>
      </c>
      <c r="F949" s="85"/>
      <c r="G949" s="85"/>
      <c r="H949" s="85"/>
      <c r="I949" s="88">
        <v>1985.5</v>
      </c>
      <c r="J949" s="44" t="s">
        <v>27</v>
      </c>
    </row>
    <row r="950" spans="1:10" ht="26.4" x14ac:dyDescent="0.25">
      <c r="A950" s="39" t="s">
        <v>823</v>
      </c>
      <c r="B950" s="16" t="s">
        <v>824</v>
      </c>
      <c r="C950" s="16" t="s">
        <v>21</v>
      </c>
      <c r="D950" s="17" t="s">
        <v>825</v>
      </c>
      <c r="E950" s="16" t="s">
        <v>23</v>
      </c>
      <c r="F950" s="27">
        <v>90.72</v>
      </c>
      <c r="G950" s="67">
        <v>16.059999999999999</v>
      </c>
      <c r="H950" s="67">
        <v>19.36</v>
      </c>
      <c r="I950" s="18">
        <v>1756.33</v>
      </c>
      <c r="J950" s="40">
        <v>1.00343848034902E-4</v>
      </c>
    </row>
    <row r="951" spans="1:10" x14ac:dyDescent="0.25">
      <c r="A951" s="43" t="s">
        <v>24</v>
      </c>
      <c r="B951" s="83"/>
      <c r="C951" s="83"/>
      <c r="D951" s="84" t="s">
        <v>3</v>
      </c>
      <c r="E951" s="85" t="s">
        <v>25</v>
      </c>
      <c r="F951" s="85"/>
      <c r="G951" s="85"/>
      <c r="H951" s="86"/>
      <c r="I951" s="87" t="s">
        <v>1911</v>
      </c>
      <c r="J951" s="44"/>
    </row>
    <row r="952" spans="1:10" x14ac:dyDescent="0.25">
      <c r="A952" s="51"/>
      <c r="B952" s="83"/>
      <c r="C952" s="83"/>
      <c r="D952" s="84" t="s">
        <v>772</v>
      </c>
      <c r="E952" s="85">
        <f>0.9*2.1*8</f>
        <v>15.120000000000001</v>
      </c>
      <c r="F952" s="85"/>
      <c r="G952" s="85"/>
      <c r="H952" s="85"/>
      <c r="I952" s="88">
        <v>15.12</v>
      </c>
      <c r="J952" s="44" t="s">
        <v>27</v>
      </c>
    </row>
    <row r="953" spans="1:10" x14ac:dyDescent="0.25">
      <c r="A953" s="51"/>
      <c r="B953" s="83"/>
      <c r="C953" s="83"/>
      <c r="D953" s="84" t="s">
        <v>769</v>
      </c>
      <c r="E953" s="85">
        <f>0.9*2.1*3</f>
        <v>5.67</v>
      </c>
      <c r="F953" s="85"/>
      <c r="G953" s="85"/>
      <c r="H953" s="85"/>
      <c r="I953" s="88">
        <v>5.67</v>
      </c>
      <c r="J953" s="44" t="s">
        <v>27</v>
      </c>
    </row>
    <row r="954" spans="1:10" x14ac:dyDescent="0.25">
      <c r="A954" s="51"/>
      <c r="B954" s="83"/>
      <c r="C954" s="83"/>
      <c r="D954" s="84" t="s">
        <v>770</v>
      </c>
      <c r="E954" s="85">
        <f>0.9*2.1*1</f>
        <v>1.8900000000000001</v>
      </c>
      <c r="F954" s="85"/>
      <c r="G954" s="85"/>
      <c r="H954" s="85"/>
      <c r="I954" s="88">
        <v>1.89</v>
      </c>
      <c r="J954" s="44" t="s">
        <v>27</v>
      </c>
    </row>
    <row r="955" spans="1:10" x14ac:dyDescent="0.25">
      <c r="A955" s="51"/>
      <c r="B955" s="83"/>
      <c r="C955" s="83"/>
      <c r="D955" s="84" t="s">
        <v>768</v>
      </c>
      <c r="E955" s="85">
        <f>0.9*2.1*36</f>
        <v>68.040000000000006</v>
      </c>
      <c r="F955" s="85"/>
      <c r="G955" s="85"/>
      <c r="H955" s="85"/>
      <c r="I955" s="88">
        <v>68.040000000000006</v>
      </c>
      <c r="J955" s="44" t="s">
        <v>27</v>
      </c>
    </row>
    <row r="956" spans="1:10" ht="26.4" x14ac:dyDescent="0.25">
      <c r="A956" s="39" t="s">
        <v>826</v>
      </c>
      <c r="B956" s="16" t="s">
        <v>827</v>
      </c>
      <c r="C956" s="16" t="s">
        <v>21</v>
      </c>
      <c r="D956" s="17" t="s">
        <v>828</v>
      </c>
      <c r="E956" s="16" t="s">
        <v>23</v>
      </c>
      <c r="F956" s="27">
        <v>470.08</v>
      </c>
      <c r="G956" s="67">
        <v>21.57</v>
      </c>
      <c r="H956" s="67">
        <v>26.01</v>
      </c>
      <c r="I956" s="18">
        <v>12226.78</v>
      </c>
      <c r="J956" s="40">
        <v>6.9854876604976237E-4</v>
      </c>
    </row>
    <row r="957" spans="1:10" x14ac:dyDescent="0.25">
      <c r="A957" s="43" t="s">
        <v>24</v>
      </c>
      <c r="B957" s="83"/>
      <c r="C957" s="83"/>
      <c r="D957" s="84" t="s">
        <v>3</v>
      </c>
      <c r="E957" s="85" t="s">
        <v>25</v>
      </c>
      <c r="F957" s="85"/>
      <c r="G957" s="85"/>
      <c r="H957" s="86"/>
      <c r="I957" s="87" t="s">
        <v>1911</v>
      </c>
      <c r="J957" s="44"/>
    </row>
    <row r="958" spans="1:10" x14ac:dyDescent="0.25">
      <c r="A958" s="51"/>
      <c r="B958" s="83"/>
      <c r="C958" s="83"/>
      <c r="D958" s="84" t="s">
        <v>829</v>
      </c>
      <c r="E958" s="85">
        <f>470.08</f>
        <v>470.08</v>
      </c>
      <c r="F958" s="85"/>
      <c r="G958" s="85"/>
      <c r="H958" s="85"/>
      <c r="I958" s="88">
        <v>470.08</v>
      </c>
      <c r="J958" s="44" t="s">
        <v>27</v>
      </c>
    </row>
    <row r="959" spans="1:10" x14ac:dyDescent="0.25">
      <c r="A959" s="41" t="s">
        <v>830</v>
      </c>
      <c r="B959" s="13"/>
      <c r="C959" s="13"/>
      <c r="D959" s="14" t="s">
        <v>831</v>
      </c>
      <c r="E959" s="14"/>
      <c r="F959" s="26">
        <v>1</v>
      </c>
      <c r="G959" s="66"/>
      <c r="H959" s="66"/>
      <c r="I959" s="15">
        <v>186485.94</v>
      </c>
      <c r="J959" s="42">
        <v>1.0654442402057616E-2</v>
      </c>
    </row>
    <row r="960" spans="1:10" x14ac:dyDescent="0.25">
      <c r="A960" s="41" t="s">
        <v>832</v>
      </c>
      <c r="B960" s="13"/>
      <c r="C960" s="13"/>
      <c r="D960" s="14" t="s">
        <v>833</v>
      </c>
      <c r="E960" s="14"/>
      <c r="F960" s="26">
        <v>1</v>
      </c>
      <c r="G960" s="66"/>
      <c r="H960" s="66"/>
      <c r="I960" s="15">
        <v>23367.89</v>
      </c>
      <c r="J960" s="42">
        <v>1.3350702903533538E-3</v>
      </c>
    </row>
    <row r="961" spans="1:10" ht="26.4" x14ac:dyDescent="0.25">
      <c r="A961" s="39" t="s">
        <v>834</v>
      </c>
      <c r="B961" s="16" t="s">
        <v>835</v>
      </c>
      <c r="C961" s="16" t="s">
        <v>21</v>
      </c>
      <c r="D961" s="17" t="s">
        <v>836</v>
      </c>
      <c r="E961" s="16" t="s">
        <v>52</v>
      </c>
      <c r="F961" s="27">
        <v>400.5</v>
      </c>
      <c r="G961" s="67">
        <v>5.3</v>
      </c>
      <c r="H961" s="67">
        <v>6.39</v>
      </c>
      <c r="I961" s="18">
        <v>2559.19</v>
      </c>
      <c r="J961" s="40">
        <v>1.462133952346318E-4</v>
      </c>
    </row>
    <row r="962" spans="1:10" x14ac:dyDescent="0.25">
      <c r="A962" s="43" t="s">
        <v>24</v>
      </c>
      <c r="B962" s="83"/>
      <c r="C962" s="83"/>
      <c r="D962" s="84" t="s">
        <v>3</v>
      </c>
      <c r="E962" s="85" t="s">
        <v>25</v>
      </c>
      <c r="F962" s="85"/>
      <c r="G962" s="85"/>
      <c r="H962" s="86"/>
      <c r="I962" s="87" t="s">
        <v>1911</v>
      </c>
      <c r="J962" s="44"/>
    </row>
    <row r="963" spans="1:10" ht="26.4" x14ac:dyDescent="0.25">
      <c r="A963" s="51"/>
      <c r="B963" s="83"/>
      <c r="C963" s="83"/>
      <c r="D963" s="84" t="s">
        <v>837</v>
      </c>
      <c r="E963" s="85">
        <f>400.5</f>
        <v>400.5</v>
      </c>
      <c r="F963" s="85"/>
      <c r="G963" s="85"/>
      <c r="H963" s="85"/>
      <c r="I963" s="88">
        <v>400.5</v>
      </c>
      <c r="J963" s="44" t="s">
        <v>27</v>
      </c>
    </row>
    <row r="964" spans="1:10" ht="26.4" x14ac:dyDescent="0.25">
      <c r="A964" s="39" t="s">
        <v>838</v>
      </c>
      <c r="B964" s="16" t="s">
        <v>839</v>
      </c>
      <c r="C964" s="16" t="s">
        <v>21</v>
      </c>
      <c r="D964" s="17" t="s">
        <v>840</v>
      </c>
      <c r="E964" s="16" t="s">
        <v>52</v>
      </c>
      <c r="F964" s="27">
        <v>148.91</v>
      </c>
      <c r="G964" s="67">
        <v>10.59</v>
      </c>
      <c r="H964" s="67">
        <v>12.77</v>
      </c>
      <c r="I964" s="18">
        <v>1901.58</v>
      </c>
      <c r="J964" s="40">
        <v>1.0864237048060954E-4</v>
      </c>
    </row>
    <row r="965" spans="1:10" x14ac:dyDescent="0.25">
      <c r="A965" s="43" t="s">
        <v>24</v>
      </c>
      <c r="B965" s="83"/>
      <c r="C965" s="83"/>
      <c r="D965" s="84" t="s">
        <v>3</v>
      </c>
      <c r="E965" s="85" t="s">
        <v>25</v>
      </c>
      <c r="F965" s="85"/>
      <c r="G965" s="85"/>
      <c r="H965" s="86"/>
      <c r="I965" s="87" t="s">
        <v>1911</v>
      </c>
      <c r="J965" s="44"/>
    </row>
    <row r="966" spans="1:10" ht="26.4" x14ac:dyDescent="0.25">
      <c r="A966" s="51"/>
      <c r="B966" s="83"/>
      <c r="C966" s="83"/>
      <c r="D966" s="84" t="s">
        <v>837</v>
      </c>
      <c r="E966" s="85">
        <f>148.91</f>
        <v>148.91</v>
      </c>
      <c r="F966" s="85"/>
      <c r="G966" s="85"/>
      <c r="H966" s="85"/>
      <c r="I966" s="88">
        <v>148.91</v>
      </c>
      <c r="J966" s="44" t="s">
        <v>27</v>
      </c>
    </row>
    <row r="967" spans="1:10" ht="26.4" x14ac:dyDescent="0.25">
      <c r="A967" s="39" t="s">
        <v>841</v>
      </c>
      <c r="B967" s="16" t="s">
        <v>842</v>
      </c>
      <c r="C967" s="16" t="s">
        <v>21</v>
      </c>
      <c r="D967" s="17" t="s">
        <v>843</v>
      </c>
      <c r="E967" s="16" t="s">
        <v>52</v>
      </c>
      <c r="F967" s="27">
        <v>394.08</v>
      </c>
      <c r="G967" s="67">
        <v>17.97</v>
      </c>
      <c r="H967" s="67">
        <v>21.67</v>
      </c>
      <c r="I967" s="18">
        <v>8539.7099999999991</v>
      </c>
      <c r="J967" s="40">
        <v>4.8789655844979756E-4</v>
      </c>
    </row>
    <row r="968" spans="1:10" x14ac:dyDescent="0.25">
      <c r="A968" s="43" t="s">
        <v>24</v>
      </c>
      <c r="B968" s="83"/>
      <c r="C968" s="83"/>
      <c r="D968" s="84" t="s">
        <v>3</v>
      </c>
      <c r="E968" s="85" t="s">
        <v>25</v>
      </c>
      <c r="F968" s="85"/>
      <c r="G968" s="85"/>
      <c r="H968" s="86"/>
      <c r="I968" s="87" t="s">
        <v>1911</v>
      </c>
      <c r="J968" s="44"/>
    </row>
    <row r="969" spans="1:10" ht="26.4" x14ac:dyDescent="0.25">
      <c r="A969" s="51"/>
      <c r="B969" s="83"/>
      <c r="C969" s="83"/>
      <c r="D969" s="84" t="s">
        <v>837</v>
      </c>
      <c r="E969" s="85">
        <f>394.08</f>
        <v>394.08</v>
      </c>
      <c r="F969" s="85"/>
      <c r="G969" s="85"/>
      <c r="H969" s="85"/>
      <c r="I969" s="88">
        <v>394.08</v>
      </c>
      <c r="J969" s="44" t="s">
        <v>27</v>
      </c>
    </row>
    <row r="970" spans="1:10" ht="26.4" x14ac:dyDescent="0.25">
      <c r="A970" s="39" t="s">
        <v>844</v>
      </c>
      <c r="B970" s="16" t="s">
        <v>845</v>
      </c>
      <c r="C970" s="16" t="s">
        <v>21</v>
      </c>
      <c r="D970" s="17" t="s">
        <v>846</v>
      </c>
      <c r="E970" s="16" t="s">
        <v>52</v>
      </c>
      <c r="F970" s="27">
        <v>3.26</v>
      </c>
      <c r="G970" s="67">
        <v>28.82</v>
      </c>
      <c r="H970" s="67">
        <v>34.75</v>
      </c>
      <c r="I970" s="18">
        <v>113.28</v>
      </c>
      <c r="J970" s="40">
        <v>6.4719905173820968E-6</v>
      </c>
    </row>
    <row r="971" spans="1:10" x14ac:dyDescent="0.25">
      <c r="A971" s="43" t="s">
        <v>24</v>
      </c>
      <c r="B971" s="83"/>
      <c r="C971" s="83"/>
      <c r="D971" s="84" t="s">
        <v>3</v>
      </c>
      <c r="E971" s="85" t="s">
        <v>25</v>
      </c>
      <c r="F971" s="85"/>
      <c r="G971" s="85"/>
      <c r="H971" s="86"/>
      <c r="I971" s="87" t="s">
        <v>1911</v>
      </c>
      <c r="J971" s="44"/>
    </row>
    <row r="972" spans="1:10" ht="26.4" x14ac:dyDescent="0.25">
      <c r="A972" s="51"/>
      <c r="B972" s="83"/>
      <c r="C972" s="83"/>
      <c r="D972" s="84" t="s">
        <v>837</v>
      </c>
      <c r="E972" s="85">
        <f>3.26</f>
        <v>3.26</v>
      </c>
      <c r="F972" s="85"/>
      <c r="G972" s="85"/>
      <c r="H972" s="85"/>
      <c r="I972" s="88">
        <v>3.26</v>
      </c>
      <c r="J972" s="44" t="s">
        <v>27</v>
      </c>
    </row>
    <row r="973" spans="1:10" ht="39.6" x14ac:dyDescent="0.25">
      <c r="A973" s="39" t="s">
        <v>847</v>
      </c>
      <c r="B973" s="16" t="s">
        <v>848</v>
      </c>
      <c r="C973" s="16" t="s">
        <v>21</v>
      </c>
      <c r="D973" s="17" t="s">
        <v>849</v>
      </c>
      <c r="E973" s="16" t="s">
        <v>588</v>
      </c>
      <c r="F973" s="27">
        <v>14</v>
      </c>
      <c r="G973" s="67">
        <v>5.56</v>
      </c>
      <c r="H973" s="67">
        <v>6.7</v>
      </c>
      <c r="I973" s="18">
        <v>93.8</v>
      </c>
      <c r="J973" s="40">
        <v>5.359045820360529E-6</v>
      </c>
    </row>
    <row r="974" spans="1:10" x14ac:dyDescent="0.25">
      <c r="A974" s="43" t="s">
        <v>24</v>
      </c>
      <c r="B974" s="83"/>
      <c r="C974" s="83"/>
      <c r="D974" s="84" t="s">
        <v>3</v>
      </c>
      <c r="E974" s="85" t="s">
        <v>25</v>
      </c>
      <c r="F974" s="85"/>
      <c r="G974" s="85"/>
      <c r="H974" s="86"/>
      <c r="I974" s="87" t="s">
        <v>1911</v>
      </c>
      <c r="J974" s="44"/>
    </row>
    <row r="975" spans="1:10" ht="26.4" x14ac:dyDescent="0.25">
      <c r="A975" s="51"/>
      <c r="B975" s="83"/>
      <c r="C975" s="83"/>
      <c r="D975" s="84" t="s">
        <v>837</v>
      </c>
      <c r="E975" s="85">
        <f>14</f>
        <v>14</v>
      </c>
      <c r="F975" s="85"/>
      <c r="G975" s="85"/>
      <c r="H975" s="85"/>
      <c r="I975" s="88">
        <v>14</v>
      </c>
      <c r="J975" s="44" t="s">
        <v>27</v>
      </c>
    </row>
    <row r="976" spans="1:10" ht="39.6" x14ac:dyDescent="0.25">
      <c r="A976" s="39" t="s">
        <v>850</v>
      </c>
      <c r="B976" s="16" t="s">
        <v>851</v>
      </c>
      <c r="C976" s="16" t="s">
        <v>21</v>
      </c>
      <c r="D976" s="17" t="s">
        <v>852</v>
      </c>
      <c r="E976" s="16" t="s">
        <v>588</v>
      </c>
      <c r="F976" s="27">
        <v>2</v>
      </c>
      <c r="G976" s="67">
        <v>7.48</v>
      </c>
      <c r="H976" s="67">
        <v>9.02</v>
      </c>
      <c r="I976" s="18">
        <v>18.04</v>
      </c>
      <c r="J976" s="40">
        <v>1.0306736311226433E-6</v>
      </c>
    </row>
    <row r="977" spans="1:10" x14ac:dyDescent="0.25">
      <c r="A977" s="43" t="s">
        <v>24</v>
      </c>
      <c r="B977" s="83"/>
      <c r="C977" s="83"/>
      <c r="D977" s="84" t="s">
        <v>3</v>
      </c>
      <c r="E977" s="85" t="s">
        <v>25</v>
      </c>
      <c r="F977" s="85"/>
      <c r="G977" s="85"/>
      <c r="H977" s="86"/>
      <c r="I977" s="87" t="s">
        <v>1911</v>
      </c>
      <c r="J977" s="44"/>
    </row>
    <row r="978" spans="1:10" ht="26.4" x14ac:dyDescent="0.25">
      <c r="A978" s="51"/>
      <c r="B978" s="83"/>
      <c r="C978" s="83"/>
      <c r="D978" s="84" t="s">
        <v>837</v>
      </c>
      <c r="E978" s="85">
        <f>2</f>
        <v>2</v>
      </c>
      <c r="F978" s="85"/>
      <c r="G978" s="85"/>
      <c r="H978" s="85"/>
      <c r="I978" s="88">
        <v>2</v>
      </c>
      <c r="J978" s="44" t="s">
        <v>27</v>
      </c>
    </row>
    <row r="979" spans="1:10" ht="39.6" x14ac:dyDescent="0.25">
      <c r="A979" s="39" t="s">
        <v>853</v>
      </c>
      <c r="B979" s="16" t="s">
        <v>854</v>
      </c>
      <c r="C979" s="16" t="s">
        <v>21</v>
      </c>
      <c r="D979" s="17" t="s">
        <v>855</v>
      </c>
      <c r="E979" s="16" t="s">
        <v>588</v>
      </c>
      <c r="F979" s="27">
        <v>20</v>
      </c>
      <c r="G979" s="67">
        <v>12.68</v>
      </c>
      <c r="H979" s="67">
        <v>15.29</v>
      </c>
      <c r="I979" s="18">
        <v>305.8</v>
      </c>
      <c r="J979" s="40">
        <v>1.7471174966591148E-5</v>
      </c>
    </row>
    <row r="980" spans="1:10" x14ac:dyDescent="0.25">
      <c r="A980" s="43" t="s">
        <v>24</v>
      </c>
      <c r="B980" s="83"/>
      <c r="C980" s="83"/>
      <c r="D980" s="84" t="s">
        <v>3</v>
      </c>
      <c r="E980" s="85" t="s">
        <v>25</v>
      </c>
      <c r="F980" s="85"/>
      <c r="G980" s="85"/>
      <c r="H980" s="86"/>
      <c r="I980" s="87" t="s">
        <v>1911</v>
      </c>
      <c r="J980" s="44"/>
    </row>
    <row r="981" spans="1:10" ht="26.4" x14ac:dyDescent="0.25">
      <c r="A981" s="51"/>
      <c r="B981" s="83"/>
      <c r="C981" s="83"/>
      <c r="D981" s="84" t="s">
        <v>837</v>
      </c>
      <c r="E981" s="85">
        <f>20</f>
        <v>20</v>
      </c>
      <c r="F981" s="85"/>
      <c r="G981" s="85"/>
      <c r="H981" s="85"/>
      <c r="I981" s="88">
        <v>20</v>
      </c>
      <c r="J981" s="44" t="s">
        <v>27</v>
      </c>
    </row>
    <row r="982" spans="1:10" ht="39.6" x14ac:dyDescent="0.25">
      <c r="A982" s="39" t="s">
        <v>856</v>
      </c>
      <c r="B982" s="16" t="s">
        <v>857</v>
      </c>
      <c r="C982" s="16" t="s">
        <v>21</v>
      </c>
      <c r="D982" s="17" t="s">
        <v>858</v>
      </c>
      <c r="E982" s="16" t="s">
        <v>588</v>
      </c>
      <c r="F982" s="27">
        <v>4</v>
      </c>
      <c r="G982" s="67">
        <v>11.55</v>
      </c>
      <c r="H982" s="67">
        <v>13.92</v>
      </c>
      <c r="I982" s="18">
        <v>55.68</v>
      </c>
      <c r="J982" s="40">
        <v>3.1811478814250986E-6</v>
      </c>
    </row>
    <row r="983" spans="1:10" x14ac:dyDescent="0.25">
      <c r="A983" s="43" t="s">
        <v>24</v>
      </c>
      <c r="B983" s="83"/>
      <c r="C983" s="83"/>
      <c r="D983" s="84" t="s">
        <v>3</v>
      </c>
      <c r="E983" s="85" t="s">
        <v>25</v>
      </c>
      <c r="F983" s="85"/>
      <c r="G983" s="85"/>
      <c r="H983" s="86"/>
      <c r="I983" s="87" t="s">
        <v>1911</v>
      </c>
      <c r="J983" s="44"/>
    </row>
    <row r="984" spans="1:10" ht="26.4" x14ac:dyDescent="0.25">
      <c r="A984" s="51"/>
      <c r="B984" s="83"/>
      <c r="C984" s="83"/>
      <c r="D984" s="84" t="s">
        <v>837</v>
      </c>
      <c r="E984" s="85">
        <f>4</f>
        <v>4</v>
      </c>
      <c r="F984" s="85"/>
      <c r="G984" s="85"/>
      <c r="H984" s="85"/>
      <c r="I984" s="88">
        <v>4</v>
      </c>
      <c r="J984" s="44" t="s">
        <v>27</v>
      </c>
    </row>
    <row r="985" spans="1:10" ht="39.6" x14ac:dyDescent="0.25">
      <c r="A985" s="39" t="s">
        <v>859</v>
      </c>
      <c r="B985" s="16" t="s">
        <v>860</v>
      </c>
      <c r="C985" s="16" t="s">
        <v>21</v>
      </c>
      <c r="D985" s="17" t="s">
        <v>861</v>
      </c>
      <c r="E985" s="16" t="s">
        <v>588</v>
      </c>
      <c r="F985" s="27">
        <v>3</v>
      </c>
      <c r="G985" s="67">
        <v>13.61</v>
      </c>
      <c r="H985" s="67">
        <v>16.41</v>
      </c>
      <c r="I985" s="18">
        <v>49.23</v>
      </c>
      <c r="J985" s="40">
        <v>2.8126420654194973E-6</v>
      </c>
    </row>
    <row r="986" spans="1:10" x14ac:dyDescent="0.25">
      <c r="A986" s="43" t="s">
        <v>24</v>
      </c>
      <c r="B986" s="83"/>
      <c r="C986" s="83"/>
      <c r="D986" s="84" t="s">
        <v>3</v>
      </c>
      <c r="E986" s="85" t="s">
        <v>25</v>
      </c>
      <c r="F986" s="85"/>
      <c r="G986" s="85"/>
      <c r="H986" s="86"/>
      <c r="I986" s="87" t="s">
        <v>1911</v>
      </c>
      <c r="J986" s="44"/>
    </row>
    <row r="987" spans="1:10" ht="26.4" x14ac:dyDescent="0.25">
      <c r="A987" s="51"/>
      <c r="B987" s="83"/>
      <c r="C987" s="83"/>
      <c r="D987" s="84" t="s">
        <v>837</v>
      </c>
      <c r="E987" s="85">
        <f>3</f>
        <v>3</v>
      </c>
      <c r="F987" s="85"/>
      <c r="G987" s="85"/>
      <c r="H987" s="85"/>
      <c r="I987" s="88">
        <v>3</v>
      </c>
      <c r="J987" s="44" t="s">
        <v>27</v>
      </c>
    </row>
    <row r="988" spans="1:10" ht="39.6" x14ac:dyDescent="0.25">
      <c r="A988" s="39" t="s">
        <v>862</v>
      </c>
      <c r="B988" s="16" t="s">
        <v>863</v>
      </c>
      <c r="C988" s="16" t="s">
        <v>21</v>
      </c>
      <c r="D988" s="17" t="s">
        <v>864</v>
      </c>
      <c r="E988" s="16" t="s">
        <v>588</v>
      </c>
      <c r="F988" s="27">
        <v>2</v>
      </c>
      <c r="G988" s="67">
        <v>23.73</v>
      </c>
      <c r="H988" s="67">
        <v>28.61</v>
      </c>
      <c r="I988" s="18">
        <v>57.22</v>
      </c>
      <c r="J988" s="40">
        <v>3.2691322157892266E-6</v>
      </c>
    </row>
    <row r="989" spans="1:10" x14ac:dyDescent="0.25">
      <c r="A989" s="43" t="s">
        <v>24</v>
      </c>
      <c r="B989" s="83"/>
      <c r="C989" s="83"/>
      <c r="D989" s="84" t="s">
        <v>3</v>
      </c>
      <c r="E989" s="85" t="s">
        <v>25</v>
      </c>
      <c r="F989" s="85"/>
      <c r="G989" s="85"/>
      <c r="H989" s="86"/>
      <c r="I989" s="87" t="s">
        <v>1911</v>
      </c>
      <c r="J989" s="44"/>
    </row>
    <row r="990" spans="1:10" ht="26.4" x14ac:dyDescent="0.25">
      <c r="A990" s="51"/>
      <c r="B990" s="83"/>
      <c r="C990" s="83"/>
      <c r="D990" s="84" t="s">
        <v>837</v>
      </c>
      <c r="E990" s="85">
        <f>2</f>
        <v>2</v>
      </c>
      <c r="F990" s="85"/>
      <c r="G990" s="85"/>
      <c r="H990" s="85"/>
      <c r="I990" s="88">
        <v>2</v>
      </c>
      <c r="J990" s="44" t="s">
        <v>27</v>
      </c>
    </row>
    <row r="991" spans="1:10" x14ac:dyDescent="0.25">
      <c r="A991" s="39" t="s">
        <v>865</v>
      </c>
      <c r="B991" s="16" t="s">
        <v>866</v>
      </c>
      <c r="C991" s="16" t="s">
        <v>43</v>
      </c>
      <c r="D991" s="17" t="s">
        <v>867</v>
      </c>
      <c r="E991" s="16" t="s">
        <v>588</v>
      </c>
      <c r="F991" s="27">
        <v>2</v>
      </c>
      <c r="G991" s="67">
        <v>12.2</v>
      </c>
      <c r="H991" s="67">
        <v>14.71</v>
      </c>
      <c r="I991" s="18">
        <v>29.42</v>
      </c>
      <c r="J991" s="40">
        <v>1.6808435824627586E-6</v>
      </c>
    </row>
    <row r="992" spans="1:10" x14ac:dyDescent="0.25">
      <c r="A992" s="43" t="s">
        <v>24</v>
      </c>
      <c r="B992" s="83"/>
      <c r="C992" s="83"/>
      <c r="D992" s="84" t="s">
        <v>3</v>
      </c>
      <c r="E992" s="85" t="s">
        <v>25</v>
      </c>
      <c r="F992" s="85"/>
      <c r="G992" s="85"/>
      <c r="H992" s="86"/>
      <c r="I992" s="87" t="s">
        <v>1911</v>
      </c>
      <c r="J992" s="44"/>
    </row>
    <row r="993" spans="1:10" ht="26.4" x14ac:dyDescent="0.25">
      <c r="A993" s="51"/>
      <c r="B993" s="83"/>
      <c r="C993" s="83"/>
      <c r="D993" s="84" t="s">
        <v>837</v>
      </c>
      <c r="E993" s="85">
        <f>2</f>
        <v>2</v>
      </c>
      <c r="F993" s="85"/>
      <c r="G993" s="85"/>
      <c r="H993" s="85"/>
      <c r="I993" s="88">
        <v>2</v>
      </c>
      <c r="J993" s="44" t="s">
        <v>27</v>
      </c>
    </row>
    <row r="994" spans="1:10" x14ac:dyDescent="0.25">
      <c r="A994" s="39" t="s">
        <v>868</v>
      </c>
      <c r="B994" s="16" t="s">
        <v>869</v>
      </c>
      <c r="C994" s="16" t="s">
        <v>43</v>
      </c>
      <c r="D994" s="17" t="s">
        <v>870</v>
      </c>
      <c r="E994" s="16" t="s">
        <v>588</v>
      </c>
      <c r="F994" s="27">
        <v>15</v>
      </c>
      <c r="G994" s="67">
        <v>23</v>
      </c>
      <c r="H994" s="67">
        <v>27.73</v>
      </c>
      <c r="I994" s="18">
        <v>415.95</v>
      </c>
      <c r="J994" s="40">
        <v>2.3764340181012389E-5</v>
      </c>
    </row>
    <row r="995" spans="1:10" x14ac:dyDescent="0.25">
      <c r="A995" s="43" t="s">
        <v>24</v>
      </c>
      <c r="B995" s="83"/>
      <c r="C995" s="83"/>
      <c r="D995" s="84" t="s">
        <v>3</v>
      </c>
      <c r="E995" s="85" t="s">
        <v>25</v>
      </c>
      <c r="F995" s="85"/>
      <c r="G995" s="85"/>
      <c r="H995" s="86"/>
      <c r="I995" s="87" t="s">
        <v>1911</v>
      </c>
      <c r="J995" s="44"/>
    </row>
    <row r="996" spans="1:10" ht="26.4" x14ac:dyDescent="0.25">
      <c r="A996" s="51"/>
      <c r="B996" s="83"/>
      <c r="C996" s="83"/>
      <c r="D996" s="84" t="s">
        <v>837</v>
      </c>
      <c r="E996" s="85">
        <f>15</f>
        <v>15</v>
      </c>
      <c r="F996" s="85"/>
      <c r="G996" s="85"/>
      <c r="H996" s="85"/>
      <c r="I996" s="88">
        <v>15</v>
      </c>
      <c r="J996" s="44" t="s">
        <v>27</v>
      </c>
    </row>
    <row r="997" spans="1:10" ht="26.4" x14ac:dyDescent="0.25">
      <c r="A997" s="39" t="s">
        <v>871</v>
      </c>
      <c r="B997" s="16" t="s">
        <v>872</v>
      </c>
      <c r="C997" s="16" t="s">
        <v>21</v>
      </c>
      <c r="D997" s="17" t="s">
        <v>873</v>
      </c>
      <c r="E997" s="16" t="s">
        <v>588</v>
      </c>
      <c r="F997" s="27">
        <v>103</v>
      </c>
      <c r="G997" s="67">
        <v>7.15</v>
      </c>
      <c r="H997" s="67">
        <v>8.6199999999999992</v>
      </c>
      <c r="I997" s="18">
        <v>887.86</v>
      </c>
      <c r="J997" s="40">
        <v>5.072582539515244E-5</v>
      </c>
    </row>
    <row r="998" spans="1:10" x14ac:dyDescent="0.25">
      <c r="A998" s="43" t="s">
        <v>24</v>
      </c>
      <c r="B998" s="83"/>
      <c r="C998" s="83"/>
      <c r="D998" s="84" t="s">
        <v>3</v>
      </c>
      <c r="E998" s="85" t="s">
        <v>25</v>
      </c>
      <c r="F998" s="85"/>
      <c r="G998" s="85"/>
      <c r="H998" s="86"/>
      <c r="I998" s="87" t="s">
        <v>1911</v>
      </c>
      <c r="J998" s="44"/>
    </row>
    <row r="999" spans="1:10" ht="26.4" x14ac:dyDescent="0.25">
      <c r="A999" s="51"/>
      <c r="B999" s="83"/>
      <c r="C999" s="83"/>
      <c r="D999" s="84" t="s">
        <v>837</v>
      </c>
      <c r="E999" s="85">
        <f>103</f>
        <v>103</v>
      </c>
      <c r="F999" s="85"/>
      <c r="G999" s="85"/>
      <c r="H999" s="85"/>
      <c r="I999" s="88">
        <v>103</v>
      </c>
      <c r="J999" s="44" t="s">
        <v>27</v>
      </c>
    </row>
    <row r="1000" spans="1:10" ht="26.4" x14ac:dyDescent="0.25">
      <c r="A1000" s="39" t="s">
        <v>874</v>
      </c>
      <c r="B1000" s="16" t="s">
        <v>875</v>
      </c>
      <c r="C1000" s="16" t="s">
        <v>21</v>
      </c>
      <c r="D1000" s="17" t="s">
        <v>876</v>
      </c>
      <c r="E1000" s="16" t="s">
        <v>588</v>
      </c>
      <c r="F1000" s="27">
        <v>8</v>
      </c>
      <c r="G1000" s="67">
        <v>11.7</v>
      </c>
      <c r="H1000" s="67">
        <v>14.11</v>
      </c>
      <c r="I1000" s="18">
        <v>112.88</v>
      </c>
      <c r="J1000" s="40">
        <v>6.4491374435212846E-6</v>
      </c>
    </row>
    <row r="1001" spans="1:10" x14ac:dyDescent="0.25">
      <c r="A1001" s="43" t="s">
        <v>24</v>
      </c>
      <c r="B1001" s="83"/>
      <c r="C1001" s="83"/>
      <c r="D1001" s="84" t="s">
        <v>3</v>
      </c>
      <c r="E1001" s="85" t="s">
        <v>25</v>
      </c>
      <c r="F1001" s="85"/>
      <c r="G1001" s="85"/>
      <c r="H1001" s="86"/>
      <c r="I1001" s="87" t="s">
        <v>1911</v>
      </c>
      <c r="J1001" s="44"/>
    </row>
    <row r="1002" spans="1:10" ht="26.4" x14ac:dyDescent="0.25">
      <c r="A1002" s="51"/>
      <c r="B1002" s="83"/>
      <c r="C1002" s="83"/>
      <c r="D1002" s="84" t="s">
        <v>837</v>
      </c>
      <c r="E1002" s="85">
        <f>8</f>
        <v>8</v>
      </c>
      <c r="F1002" s="85"/>
      <c r="G1002" s="85"/>
      <c r="H1002" s="85"/>
      <c r="I1002" s="88">
        <v>8</v>
      </c>
      <c r="J1002" s="44" t="s">
        <v>27</v>
      </c>
    </row>
    <row r="1003" spans="1:10" ht="39.6" x14ac:dyDescent="0.25">
      <c r="A1003" s="39" t="s">
        <v>877</v>
      </c>
      <c r="B1003" s="16" t="s">
        <v>878</v>
      </c>
      <c r="C1003" s="16" t="s">
        <v>21</v>
      </c>
      <c r="D1003" s="17" t="s">
        <v>879</v>
      </c>
      <c r="E1003" s="16" t="s">
        <v>588</v>
      </c>
      <c r="F1003" s="27">
        <v>35</v>
      </c>
      <c r="G1003" s="67">
        <v>26.1</v>
      </c>
      <c r="H1003" s="67">
        <v>31.47</v>
      </c>
      <c r="I1003" s="18">
        <v>1101.45</v>
      </c>
      <c r="J1003" s="40">
        <v>6.2928795509979794E-5</v>
      </c>
    </row>
    <row r="1004" spans="1:10" x14ac:dyDescent="0.25">
      <c r="A1004" s="43" t="s">
        <v>24</v>
      </c>
      <c r="B1004" s="83"/>
      <c r="C1004" s="83"/>
      <c r="D1004" s="84" t="s">
        <v>3</v>
      </c>
      <c r="E1004" s="85" t="s">
        <v>25</v>
      </c>
      <c r="F1004" s="85"/>
      <c r="G1004" s="85"/>
      <c r="H1004" s="86"/>
      <c r="I1004" s="87" t="s">
        <v>1911</v>
      </c>
      <c r="J1004" s="44"/>
    </row>
    <row r="1005" spans="1:10" ht="26.4" x14ac:dyDescent="0.25">
      <c r="A1005" s="51"/>
      <c r="B1005" s="83"/>
      <c r="C1005" s="83"/>
      <c r="D1005" s="84" t="s">
        <v>837</v>
      </c>
      <c r="E1005" s="85">
        <f>35</f>
        <v>35</v>
      </c>
      <c r="F1005" s="85"/>
      <c r="G1005" s="85"/>
      <c r="H1005" s="85"/>
      <c r="I1005" s="88">
        <v>35</v>
      </c>
      <c r="J1005" s="44" t="s">
        <v>27</v>
      </c>
    </row>
    <row r="1006" spans="1:10" ht="26.4" x14ac:dyDescent="0.25">
      <c r="A1006" s="39" t="s">
        <v>880</v>
      </c>
      <c r="B1006" s="16" t="s">
        <v>881</v>
      </c>
      <c r="C1006" s="16" t="s">
        <v>21</v>
      </c>
      <c r="D1006" s="17" t="s">
        <v>882</v>
      </c>
      <c r="E1006" s="16" t="s">
        <v>588</v>
      </c>
      <c r="F1006" s="27">
        <v>2</v>
      </c>
      <c r="G1006" s="67">
        <v>44.6</v>
      </c>
      <c r="H1006" s="67">
        <v>53.78</v>
      </c>
      <c r="I1006" s="18">
        <v>107.56</v>
      </c>
      <c r="J1006" s="40">
        <v>6.1451915611724782E-6</v>
      </c>
    </row>
    <row r="1007" spans="1:10" x14ac:dyDescent="0.25">
      <c r="A1007" s="43" t="s">
        <v>24</v>
      </c>
      <c r="B1007" s="83"/>
      <c r="C1007" s="83"/>
      <c r="D1007" s="84" t="s">
        <v>3</v>
      </c>
      <c r="E1007" s="85" t="s">
        <v>25</v>
      </c>
      <c r="F1007" s="85"/>
      <c r="G1007" s="85"/>
      <c r="H1007" s="86"/>
      <c r="I1007" s="87" t="s">
        <v>1911</v>
      </c>
      <c r="J1007" s="44"/>
    </row>
    <row r="1008" spans="1:10" ht="26.4" x14ac:dyDescent="0.25">
      <c r="A1008" s="51"/>
      <c r="B1008" s="83"/>
      <c r="C1008" s="83"/>
      <c r="D1008" s="84" t="s">
        <v>837</v>
      </c>
      <c r="E1008" s="85">
        <f>2</f>
        <v>2</v>
      </c>
      <c r="F1008" s="85"/>
      <c r="G1008" s="85"/>
      <c r="H1008" s="85"/>
      <c r="I1008" s="88">
        <v>2</v>
      </c>
      <c r="J1008" s="44" t="s">
        <v>27</v>
      </c>
    </row>
    <row r="1009" spans="1:10" ht="26.4" x14ac:dyDescent="0.25">
      <c r="A1009" s="39" t="s">
        <v>883</v>
      </c>
      <c r="B1009" s="16" t="s">
        <v>884</v>
      </c>
      <c r="C1009" s="16" t="s">
        <v>21</v>
      </c>
      <c r="D1009" s="17" t="s">
        <v>885</v>
      </c>
      <c r="E1009" s="16" t="s">
        <v>588</v>
      </c>
      <c r="F1009" s="27">
        <v>109</v>
      </c>
      <c r="G1009" s="67">
        <v>5.65</v>
      </c>
      <c r="H1009" s="67">
        <v>6.81</v>
      </c>
      <c r="I1009" s="18">
        <v>742.29</v>
      </c>
      <c r="J1009" s="40">
        <v>4.2409020490356258E-5</v>
      </c>
    </row>
    <row r="1010" spans="1:10" x14ac:dyDescent="0.25">
      <c r="A1010" s="43" t="s">
        <v>24</v>
      </c>
      <c r="B1010" s="83"/>
      <c r="C1010" s="83"/>
      <c r="D1010" s="84" t="s">
        <v>3</v>
      </c>
      <c r="E1010" s="85" t="s">
        <v>25</v>
      </c>
      <c r="F1010" s="85"/>
      <c r="G1010" s="85"/>
      <c r="H1010" s="86"/>
      <c r="I1010" s="87" t="s">
        <v>1911</v>
      </c>
      <c r="J1010" s="44"/>
    </row>
    <row r="1011" spans="1:10" ht="26.4" x14ac:dyDescent="0.25">
      <c r="A1011" s="51"/>
      <c r="B1011" s="83"/>
      <c r="C1011" s="83"/>
      <c r="D1011" s="84" t="s">
        <v>837</v>
      </c>
      <c r="E1011" s="85">
        <f>109</f>
        <v>109</v>
      </c>
      <c r="F1011" s="85"/>
      <c r="G1011" s="85"/>
      <c r="H1011" s="85"/>
      <c r="I1011" s="88">
        <v>109</v>
      </c>
      <c r="J1011" s="44" t="s">
        <v>27</v>
      </c>
    </row>
    <row r="1012" spans="1:10" ht="26.4" x14ac:dyDescent="0.25">
      <c r="A1012" s="39" t="s">
        <v>886</v>
      </c>
      <c r="B1012" s="16" t="s">
        <v>887</v>
      </c>
      <c r="C1012" s="16" t="s">
        <v>21</v>
      </c>
      <c r="D1012" s="17" t="s">
        <v>888</v>
      </c>
      <c r="E1012" s="16" t="s">
        <v>588</v>
      </c>
      <c r="F1012" s="27">
        <v>4</v>
      </c>
      <c r="G1012" s="67">
        <v>9.36</v>
      </c>
      <c r="H1012" s="67">
        <v>11.28</v>
      </c>
      <c r="I1012" s="18">
        <v>45.12</v>
      </c>
      <c r="J1012" s="40">
        <v>2.5778267314996488E-6</v>
      </c>
    </row>
    <row r="1013" spans="1:10" x14ac:dyDescent="0.25">
      <c r="A1013" s="43" t="s">
        <v>24</v>
      </c>
      <c r="B1013" s="83"/>
      <c r="C1013" s="83"/>
      <c r="D1013" s="84" t="s">
        <v>3</v>
      </c>
      <c r="E1013" s="85" t="s">
        <v>25</v>
      </c>
      <c r="F1013" s="85"/>
      <c r="G1013" s="85"/>
      <c r="H1013" s="86"/>
      <c r="I1013" s="87" t="s">
        <v>1911</v>
      </c>
      <c r="J1013" s="44"/>
    </row>
    <row r="1014" spans="1:10" ht="26.4" x14ac:dyDescent="0.25">
      <c r="A1014" s="51"/>
      <c r="B1014" s="83"/>
      <c r="C1014" s="83"/>
      <c r="D1014" s="84" t="s">
        <v>837</v>
      </c>
      <c r="E1014" s="85">
        <f>4</f>
        <v>4</v>
      </c>
      <c r="F1014" s="85"/>
      <c r="G1014" s="85"/>
      <c r="H1014" s="85"/>
      <c r="I1014" s="88">
        <v>4</v>
      </c>
      <c r="J1014" s="44" t="s">
        <v>27</v>
      </c>
    </row>
    <row r="1015" spans="1:10" ht="39.6" x14ac:dyDescent="0.25">
      <c r="A1015" s="39" t="s">
        <v>889</v>
      </c>
      <c r="B1015" s="16" t="s">
        <v>890</v>
      </c>
      <c r="C1015" s="16" t="s">
        <v>21</v>
      </c>
      <c r="D1015" s="17" t="s">
        <v>891</v>
      </c>
      <c r="E1015" s="16" t="s">
        <v>588</v>
      </c>
      <c r="F1015" s="27">
        <v>4</v>
      </c>
      <c r="G1015" s="67">
        <v>20.47</v>
      </c>
      <c r="H1015" s="67">
        <v>24.68</v>
      </c>
      <c r="I1015" s="18">
        <v>98.72</v>
      </c>
      <c r="J1015" s="40">
        <v>5.6401386288485224E-6</v>
      </c>
    </row>
    <row r="1016" spans="1:10" x14ac:dyDescent="0.25">
      <c r="A1016" s="43" t="s">
        <v>24</v>
      </c>
      <c r="B1016" s="83"/>
      <c r="C1016" s="83"/>
      <c r="D1016" s="84" t="s">
        <v>3</v>
      </c>
      <c r="E1016" s="85" t="s">
        <v>25</v>
      </c>
      <c r="F1016" s="85"/>
      <c r="G1016" s="85"/>
      <c r="H1016" s="86"/>
      <c r="I1016" s="87" t="s">
        <v>1911</v>
      </c>
      <c r="J1016" s="44"/>
    </row>
    <row r="1017" spans="1:10" ht="26.4" x14ac:dyDescent="0.25">
      <c r="A1017" s="51"/>
      <c r="B1017" s="83"/>
      <c r="C1017" s="83"/>
      <c r="D1017" s="84" t="s">
        <v>837</v>
      </c>
      <c r="E1017" s="85">
        <f>4</f>
        <v>4</v>
      </c>
      <c r="F1017" s="85"/>
      <c r="G1017" s="85"/>
      <c r="H1017" s="85"/>
      <c r="I1017" s="88">
        <v>4</v>
      </c>
      <c r="J1017" s="44" t="s">
        <v>27</v>
      </c>
    </row>
    <row r="1018" spans="1:10" ht="26.4" x14ac:dyDescent="0.25">
      <c r="A1018" s="39" t="s">
        <v>892</v>
      </c>
      <c r="B1018" s="16" t="s">
        <v>893</v>
      </c>
      <c r="C1018" s="16" t="s">
        <v>21</v>
      </c>
      <c r="D1018" s="17" t="s">
        <v>894</v>
      </c>
      <c r="E1018" s="16" t="s">
        <v>588</v>
      </c>
      <c r="F1018" s="27">
        <v>15</v>
      </c>
      <c r="G1018" s="67">
        <v>4.87</v>
      </c>
      <c r="H1018" s="67">
        <v>5.87</v>
      </c>
      <c r="I1018" s="18">
        <v>88.05</v>
      </c>
      <c r="J1018" s="40">
        <v>5.0305328836113489E-6</v>
      </c>
    </row>
    <row r="1019" spans="1:10" x14ac:dyDescent="0.25">
      <c r="A1019" s="43" t="s">
        <v>24</v>
      </c>
      <c r="B1019" s="83"/>
      <c r="C1019" s="83"/>
      <c r="D1019" s="84" t="s">
        <v>3</v>
      </c>
      <c r="E1019" s="85" t="s">
        <v>25</v>
      </c>
      <c r="F1019" s="85"/>
      <c r="G1019" s="85"/>
      <c r="H1019" s="86"/>
      <c r="I1019" s="87" t="s">
        <v>1911</v>
      </c>
      <c r="J1019" s="44"/>
    </row>
    <row r="1020" spans="1:10" ht="26.4" x14ac:dyDescent="0.25">
      <c r="A1020" s="51"/>
      <c r="B1020" s="83"/>
      <c r="C1020" s="83"/>
      <c r="D1020" s="84" t="s">
        <v>837</v>
      </c>
      <c r="E1020" s="85">
        <f>15</f>
        <v>15</v>
      </c>
      <c r="F1020" s="85"/>
      <c r="G1020" s="85"/>
      <c r="H1020" s="85"/>
      <c r="I1020" s="88">
        <v>15</v>
      </c>
      <c r="J1020" s="44" t="s">
        <v>27</v>
      </c>
    </row>
    <row r="1021" spans="1:10" ht="26.4" x14ac:dyDescent="0.25">
      <c r="A1021" s="39" t="s">
        <v>895</v>
      </c>
      <c r="B1021" s="16" t="s">
        <v>896</v>
      </c>
      <c r="C1021" s="16" t="s">
        <v>21</v>
      </c>
      <c r="D1021" s="17" t="s">
        <v>897</v>
      </c>
      <c r="E1021" s="16" t="s">
        <v>588</v>
      </c>
      <c r="F1021" s="27">
        <v>1</v>
      </c>
      <c r="G1021" s="67">
        <v>7.62</v>
      </c>
      <c r="H1021" s="67">
        <v>9.18</v>
      </c>
      <c r="I1021" s="18">
        <v>9.18</v>
      </c>
      <c r="J1021" s="40">
        <v>5.2447804510564661E-7</v>
      </c>
    </row>
    <row r="1022" spans="1:10" x14ac:dyDescent="0.25">
      <c r="A1022" s="43" t="s">
        <v>24</v>
      </c>
      <c r="B1022" s="83"/>
      <c r="C1022" s="83"/>
      <c r="D1022" s="84" t="s">
        <v>3</v>
      </c>
      <c r="E1022" s="85" t="s">
        <v>25</v>
      </c>
      <c r="F1022" s="85"/>
      <c r="G1022" s="85"/>
      <c r="H1022" s="86"/>
      <c r="I1022" s="87" t="s">
        <v>1911</v>
      </c>
      <c r="J1022" s="44"/>
    </row>
    <row r="1023" spans="1:10" ht="26.4" x14ac:dyDescent="0.25">
      <c r="A1023" s="51"/>
      <c r="B1023" s="83"/>
      <c r="C1023" s="83"/>
      <c r="D1023" s="84" t="s">
        <v>837</v>
      </c>
      <c r="E1023" s="85">
        <f>1</f>
        <v>1</v>
      </c>
      <c r="F1023" s="85"/>
      <c r="G1023" s="85"/>
      <c r="H1023" s="85"/>
      <c r="I1023" s="88">
        <v>1</v>
      </c>
      <c r="J1023" s="44" t="s">
        <v>27</v>
      </c>
    </row>
    <row r="1024" spans="1:10" ht="39.6" x14ac:dyDescent="0.25">
      <c r="A1024" s="39" t="s">
        <v>898</v>
      </c>
      <c r="B1024" s="16" t="s">
        <v>899</v>
      </c>
      <c r="C1024" s="16" t="s">
        <v>21</v>
      </c>
      <c r="D1024" s="17" t="s">
        <v>900</v>
      </c>
      <c r="E1024" s="16" t="s">
        <v>588</v>
      </c>
      <c r="F1024" s="27">
        <v>11</v>
      </c>
      <c r="G1024" s="67">
        <v>17.940000000000001</v>
      </c>
      <c r="H1024" s="67">
        <v>21.63</v>
      </c>
      <c r="I1024" s="18">
        <v>237.93</v>
      </c>
      <c r="J1024" s="40">
        <v>1.359357965925779E-5</v>
      </c>
    </row>
    <row r="1025" spans="1:10" x14ac:dyDescent="0.25">
      <c r="A1025" s="43" t="s">
        <v>24</v>
      </c>
      <c r="B1025" s="83"/>
      <c r="C1025" s="83"/>
      <c r="D1025" s="84" t="s">
        <v>3</v>
      </c>
      <c r="E1025" s="85" t="s">
        <v>25</v>
      </c>
      <c r="F1025" s="85"/>
      <c r="G1025" s="85"/>
      <c r="H1025" s="86"/>
      <c r="I1025" s="87" t="s">
        <v>1911</v>
      </c>
      <c r="J1025" s="44"/>
    </row>
    <row r="1026" spans="1:10" ht="26.4" x14ac:dyDescent="0.25">
      <c r="A1026" s="51"/>
      <c r="B1026" s="83"/>
      <c r="C1026" s="83"/>
      <c r="D1026" s="84" t="s">
        <v>837</v>
      </c>
      <c r="E1026" s="85">
        <f>11</f>
        <v>11</v>
      </c>
      <c r="F1026" s="85"/>
      <c r="G1026" s="85"/>
      <c r="H1026" s="85"/>
      <c r="I1026" s="88">
        <v>11</v>
      </c>
      <c r="J1026" s="44" t="s">
        <v>27</v>
      </c>
    </row>
    <row r="1027" spans="1:10" ht="39.6" x14ac:dyDescent="0.25">
      <c r="A1027" s="39" t="s">
        <v>901</v>
      </c>
      <c r="B1027" s="16" t="s">
        <v>902</v>
      </c>
      <c r="C1027" s="16" t="s">
        <v>21</v>
      </c>
      <c r="D1027" s="17" t="s">
        <v>903</v>
      </c>
      <c r="E1027" s="16" t="s">
        <v>588</v>
      </c>
      <c r="F1027" s="27">
        <v>153</v>
      </c>
      <c r="G1027" s="67">
        <v>15.44</v>
      </c>
      <c r="H1027" s="67">
        <v>18.62</v>
      </c>
      <c r="I1027" s="18">
        <v>2848.86</v>
      </c>
      <c r="J1027" s="40">
        <v>1.6276301999778567E-4</v>
      </c>
    </row>
    <row r="1028" spans="1:10" x14ac:dyDescent="0.25">
      <c r="A1028" s="43" t="s">
        <v>24</v>
      </c>
      <c r="B1028" s="83"/>
      <c r="C1028" s="83"/>
      <c r="D1028" s="84" t="s">
        <v>3</v>
      </c>
      <c r="E1028" s="85" t="s">
        <v>25</v>
      </c>
      <c r="F1028" s="85"/>
      <c r="G1028" s="85"/>
      <c r="H1028" s="86"/>
      <c r="I1028" s="87" t="s">
        <v>1911</v>
      </c>
      <c r="J1028" s="44"/>
    </row>
    <row r="1029" spans="1:10" ht="26.4" x14ac:dyDescent="0.25">
      <c r="A1029" s="51"/>
      <c r="B1029" s="83"/>
      <c r="C1029" s="83"/>
      <c r="D1029" s="84" t="s">
        <v>837</v>
      </c>
      <c r="E1029" s="85">
        <f>153</f>
        <v>153</v>
      </c>
      <c r="F1029" s="85"/>
      <c r="G1029" s="85"/>
      <c r="H1029" s="85"/>
      <c r="I1029" s="88">
        <v>153</v>
      </c>
      <c r="J1029" s="44" t="s">
        <v>27</v>
      </c>
    </row>
    <row r="1030" spans="1:10" ht="39.6" x14ac:dyDescent="0.25">
      <c r="A1030" s="39" t="s">
        <v>904</v>
      </c>
      <c r="B1030" s="16" t="s">
        <v>905</v>
      </c>
      <c r="C1030" s="16" t="s">
        <v>21</v>
      </c>
      <c r="D1030" s="17" t="s">
        <v>906</v>
      </c>
      <c r="E1030" s="16" t="s">
        <v>588</v>
      </c>
      <c r="F1030" s="27">
        <v>20</v>
      </c>
      <c r="G1030" s="67">
        <v>9.9</v>
      </c>
      <c r="H1030" s="67">
        <v>11.93</v>
      </c>
      <c r="I1030" s="18">
        <v>238.6</v>
      </c>
      <c r="J1030" s="40">
        <v>1.3631858557974651E-5</v>
      </c>
    </row>
    <row r="1031" spans="1:10" x14ac:dyDescent="0.25">
      <c r="A1031" s="43" t="s">
        <v>24</v>
      </c>
      <c r="B1031" s="83"/>
      <c r="C1031" s="83"/>
      <c r="D1031" s="84" t="s">
        <v>3</v>
      </c>
      <c r="E1031" s="85" t="s">
        <v>25</v>
      </c>
      <c r="F1031" s="85"/>
      <c r="G1031" s="85"/>
      <c r="H1031" s="86"/>
      <c r="I1031" s="87" t="s">
        <v>1911</v>
      </c>
      <c r="J1031" s="44"/>
    </row>
    <row r="1032" spans="1:10" ht="26.4" x14ac:dyDescent="0.25">
      <c r="A1032" s="51"/>
      <c r="B1032" s="83"/>
      <c r="C1032" s="83"/>
      <c r="D1032" s="84" t="s">
        <v>837</v>
      </c>
      <c r="E1032" s="85">
        <f>20</f>
        <v>20</v>
      </c>
      <c r="F1032" s="85"/>
      <c r="G1032" s="85"/>
      <c r="H1032" s="85"/>
      <c r="I1032" s="88">
        <v>20</v>
      </c>
      <c r="J1032" s="44" t="s">
        <v>27</v>
      </c>
    </row>
    <row r="1033" spans="1:10" ht="26.4" x14ac:dyDescent="0.25">
      <c r="A1033" s="39" t="s">
        <v>907</v>
      </c>
      <c r="B1033" s="16" t="s">
        <v>908</v>
      </c>
      <c r="C1033" s="16" t="s">
        <v>21</v>
      </c>
      <c r="D1033" s="17" t="s">
        <v>909</v>
      </c>
      <c r="E1033" s="16" t="s">
        <v>588</v>
      </c>
      <c r="F1033" s="27">
        <v>1</v>
      </c>
      <c r="G1033" s="67">
        <v>6.62</v>
      </c>
      <c r="H1033" s="67">
        <v>7.98</v>
      </c>
      <c r="I1033" s="18">
        <v>7.98</v>
      </c>
      <c r="J1033" s="40">
        <v>4.5591882352320917E-7</v>
      </c>
    </row>
    <row r="1034" spans="1:10" x14ac:dyDescent="0.25">
      <c r="A1034" s="43" t="s">
        <v>24</v>
      </c>
      <c r="B1034" s="83"/>
      <c r="C1034" s="83"/>
      <c r="D1034" s="84" t="s">
        <v>3</v>
      </c>
      <c r="E1034" s="85" t="s">
        <v>25</v>
      </c>
      <c r="F1034" s="85"/>
      <c r="G1034" s="85"/>
      <c r="H1034" s="86"/>
      <c r="I1034" s="87" t="s">
        <v>1911</v>
      </c>
      <c r="J1034" s="44"/>
    </row>
    <row r="1035" spans="1:10" ht="26.4" x14ac:dyDescent="0.25">
      <c r="A1035" s="51"/>
      <c r="B1035" s="83"/>
      <c r="C1035" s="83"/>
      <c r="D1035" s="84" t="s">
        <v>837</v>
      </c>
      <c r="E1035" s="85">
        <f>1</f>
        <v>1</v>
      </c>
      <c r="F1035" s="85"/>
      <c r="G1035" s="85"/>
      <c r="H1035" s="85"/>
      <c r="I1035" s="88">
        <v>1</v>
      </c>
      <c r="J1035" s="44" t="s">
        <v>27</v>
      </c>
    </row>
    <row r="1036" spans="1:10" ht="39.6" x14ac:dyDescent="0.25">
      <c r="A1036" s="39" t="s">
        <v>910</v>
      </c>
      <c r="B1036" s="16" t="s">
        <v>911</v>
      </c>
      <c r="C1036" s="16" t="s">
        <v>21</v>
      </c>
      <c r="D1036" s="17" t="s">
        <v>912</v>
      </c>
      <c r="E1036" s="16" t="s">
        <v>588</v>
      </c>
      <c r="F1036" s="27">
        <v>12</v>
      </c>
      <c r="G1036" s="67">
        <v>11.32</v>
      </c>
      <c r="H1036" s="67">
        <v>13.65</v>
      </c>
      <c r="I1036" s="18">
        <v>163.80000000000001</v>
      </c>
      <c r="J1036" s="40">
        <v>9.3583337460027148E-6</v>
      </c>
    </row>
    <row r="1037" spans="1:10" x14ac:dyDescent="0.25">
      <c r="A1037" s="43" t="s">
        <v>24</v>
      </c>
      <c r="B1037" s="83"/>
      <c r="C1037" s="83"/>
      <c r="D1037" s="84" t="s">
        <v>3</v>
      </c>
      <c r="E1037" s="85" t="s">
        <v>25</v>
      </c>
      <c r="F1037" s="85"/>
      <c r="G1037" s="85"/>
      <c r="H1037" s="86"/>
      <c r="I1037" s="87" t="s">
        <v>1911</v>
      </c>
      <c r="J1037" s="44"/>
    </row>
    <row r="1038" spans="1:10" ht="26.4" x14ac:dyDescent="0.25">
      <c r="A1038" s="51"/>
      <c r="B1038" s="83"/>
      <c r="C1038" s="83"/>
      <c r="D1038" s="84" t="s">
        <v>837</v>
      </c>
      <c r="E1038" s="85">
        <f>12</f>
        <v>12</v>
      </c>
      <c r="F1038" s="85"/>
      <c r="G1038" s="85"/>
      <c r="H1038" s="85"/>
      <c r="I1038" s="88">
        <v>12</v>
      </c>
      <c r="J1038" s="44" t="s">
        <v>27</v>
      </c>
    </row>
    <row r="1039" spans="1:10" ht="26.4" x14ac:dyDescent="0.25">
      <c r="A1039" s="39" t="s">
        <v>913</v>
      </c>
      <c r="B1039" s="16" t="s">
        <v>914</v>
      </c>
      <c r="C1039" s="16" t="s">
        <v>21</v>
      </c>
      <c r="D1039" s="17" t="s">
        <v>915</v>
      </c>
      <c r="E1039" s="16" t="s">
        <v>588</v>
      </c>
      <c r="F1039" s="27">
        <v>44</v>
      </c>
      <c r="G1039" s="67">
        <v>13.18</v>
      </c>
      <c r="H1039" s="67">
        <v>15.89</v>
      </c>
      <c r="I1039" s="18">
        <v>699.16</v>
      </c>
      <c r="J1039" s="40">
        <v>3.994488780131415E-5</v>
      </c>
    </row>
    <row r="1040" spans="1:10" x14ac:dyDescent="0.25">
      <c r="A1040" s="43" t="s">
        <v>24</v>
      </c>
      <c r="B1040" s="83"/>
      <c r="C1040" s="83"/>
      <c r="D1040" s="84" t="s">
        <v>3</v>
      </c>
      <c r="E1040" s="85" t="s">
        <v>25</v>
      </c>
      <c r="F1040" s="85"/>
      <c r="G1040" s="85"/>
      <c r="H1040" s="86"/>
      <c r="I1040" s="87" t="s">
        <v>1911</v>
      </c>
      <c r="J1040" s="44"/>
    </row>
    <row r="1041" spans="1:10" ht="26.4" x14ac:dyDescent="0.25">
      <c r="A1041" s="51"/>
      <c r="B1041" s="83"/>
      <c r="C1041" s="83"/>
      <c r="D1041" s="84" t="s">
        <v>837</v>
      </c>
      <c r="E1041" s="85">
        <f>44</f>
        <v>44</v>
      </c>
      <c r="F1041" s="85"/>
      <c r="G1041" s="85"/>
      <c r="H1041" s="85"/>
      <c r="I1041" s="88">
        <v>44</v>
      </c>
      <c r="J1041" s="44" t="s">
        <v>27</v>
      </c>
    </row>
    <row r="1042" spans="1:10" ht="26.4" x14ac:dyDescent="0.25">
      <c r="A1042" s="39" t="s">
        <v>916</v>
      </c>
      <c r="B1042" s="16" t="s">
        <v>917</v>
      </c>
      <c r="C1042" s="16" t="s">
        <v>21</v>
      </c>
      <c r="D1042" s="17" t="s">
        <v>918</v>
      </c>
      <c r="E1042" s="16" t="s">
        <v>588</v>
      </c>
      <c r="F1042" s="27">
        <v>19</v>
      </c>
      <c r="G1042" s="67">
        <v>18.809999999999999</v>
      </c>
      <c r="H1042" s="67">
        <v>22.68</v>
      </c>
      <c r="I1042" s="18">
        <v>430.92</v>
      </c>
      <c r="J1042" s="40">
        <v>2.4619616470253296E-5</v>
      </c>
    </row>
    <row r="1043" spans="1:10" x14ac:dyDescent="0.25">
      <c r="A1043" s="43" t="s">
        <v>24</v>
      </c>
      <c r="B1043" s="83"/>
      <c r="C1043" s="83"/>
      <c r="D1043" s="84" t="s">
        <v>3</v>
      </c>
      <c r="E1043" s="85" t="s">
        <v>25</v>
      </c>
      <c r="F1043" s="85"/>
      <c r="G1043" s="85"/>
      <c r="H1043" s="86"/>
      <c r="I1043" s="87" t="s">
        <v>1911</v>
      </c>
      <c r="J1043" s="44"/>
    </row>
    <row r="1044" spans="1:10" ht="26.4" x14ac:dyDescent="0.25">
      <c r="A1044" s="51"/>
      <c r="B1044" s="83"/>
      <c r="C1044" s="83"/>
      <c r="D1044" s="84" t="s">
        <v>837</v>
      </c>
      <c r="E1044" s="85">
        <f>19</f>
        <v>19</v>
      </c>
      <c r="F1044" s="85"/>
      <c r="G1044" s="85"/>
      <c r="H1044" s="85"/>
      <c r="I1044" s="88">
        <v>19</v>
      </c>
      <c r="J1044" s="44" t="s">
        <v>27</v>
      </c>
    </row>
    <row r="1045" spans="1:10" ht="39.6" x14ac:dyDescent="0.25">
      <c r="A1045" s="39" t="s">
        <v>919</v>
      </c>
      <c r="B1045" s="16" t="s">
        <v>920</v>
      </c>
      <c r="C1045" s="16" t="s">
        <v>21</v>
      </c>
      <c r="D1045" s="17" t="s">
        <v>921</v>
      </c>
      <c r="E1045" s="16" t="s">
        <v>588</v>
      </c>
      <c r="F1045" s="27">
        <v>9</v>
      </c>
      <c r="G1045" s="67">
        <v>24.22</v>
      </c>
      <c r="H1045" s="67">
        <v>29.2</v>
      </c>
      <c r="I1045" s="18">
        <v>262.8</v>
      </c>
      <c r="J1045" s="40">
        <v>1.5014469526553805E-5</v>
      </c>
    </row>
    <row r="1046" spans="1:10" x14ac:dyDescent="0.25">
      <c r="A1046" s="43" t="s">
        <v>24</v>
      </c>
      <c r="B1046" s="83"/>
      <c r="C1046" s="83"/>
      <c r="D1046" s="84" t="s">
        <v>3</v>
      </c>
      <c r="E1046" s="85" t="s">
        <v>25</v>
      </c>
      <c r="F1046" s="85"/>
      <c r="G1046" s="85"/>
      <c r="H1046" s="86"/>
      <c r="I1046" s="87" t="s">
        <v>1911</v>
      </c>
      <c r="J1046" s="44"/>
    </row>
    <row r="1047" spans="1:10" ht="26.4" x14ac:dyDescent="0.25">
      <c r="A1047" s="51"/>
      <c r="B1047" s="83"/>
      <c r="C1047" s="83"/>
      <c r="D1047" s="84" t="s">
        <v>837</v>
      </c>
      <c r="E1047" s="85">
        <f>9</f>
        <v>9</v>
      </c>
      <c r="F1047" s="85"/>
      <c r="G1047" s="85"/>
      <c r="H1047" s="85"/>
      <c r="I1047" s="88">
        <v>9</v>
      </c>
      <c r="J1047" s="44" t="s">
        <v>27</v>
      </c>
    </row>
    <row r="1048" spans="1:10" ht="26.4" x14ac:dyDescent="0.25">
      <c r="A1048" s="39" t="s">
        <v>922</v>
      </c>
      <c r="B1048" s="16" t="s">
        <v>923</v>
      </c>
      <c r="C1048" s="16" t="s">
        <v>21</v>
      </c>
      <c r="D1048" s="17" t="s">
        <v>924</v>
      </c>
      <c r="E1048" s="16" t="s">
        <v>588</v>
      </c>
      <c r="F1048" s="27">
        <v>35</v>
      </c>
      <c r="G1048" s="67">
        <v>10.92</v>
      </c>
      <c r="H1048" s="67">
        <v>13.16</v>
      </c>
      <c r="I1048" s="18">
        <v>460.6</v>
      </c>
      <c r="J1048" s="40">
        <v>2.6315314550725583E-5</v>
      </c>
    </row>
    <row r="1049" spans="1:10" x14ac:dyDescent="0.25">
      <c r="A1049" s="43" t="s">
        <v>24</v>
      </c>
      <c r="B1049" s="83"/>
      <c r="C1049" s="83"/>
      <c r="D1049" s="84" t="s">
        <v>3</v>
      </c>
      <c r="E1049" s="85" t="s">
        <v>25</v>
      </c>
      <c r="F1049" s="85"/>
      <c r="G1049" s="85"/>
      <c r="H1049" s="86"/>
      <c r="I1049" s="87" t="s">
        <v>1911</v>
      </c>
      <c r="J1049" s="44"/>
    </row>
    <row r="1050" spans="1:10" ht="26.4" x14ac:dyDescent="0.25">
      <c r="A1050" s="51"/>
      <c r="B1050" s="83"/>
      <c r="C1050" s="83"/>
      <c r="D1050" s="84" t="s">
        <v>837</v>
      </c>
      <c r="E1050" s="85">
        <f>35</f>
        <v>35</v>
      </c>
      <c r="F1050" s="85"/>
      <c r="G1050" s="85"/>
      <c r="H1050" s="85"/>
      <c r="I1050" s="88">
        <v>35</v>
      </c>
      <c r="J1050" s="44" t="s">
        <v>27</v>
      </c>
    </row>
    <row r="1051" spans="1:10" ht="26.4" x14ac:dyDescent="0.25">
      <c r="A1051" s="39" t="s">
        <v>925</v>
      </c>
      <c r="B1051" s="16" t="s">
        <v>926</v>
      </c>
      <c r="C1051" s="16" t="s">
        <v>21</v>
      </c>
      <c r="D1051" s="17" t="s">
        <v>927</v>
      </c>
      <c r="E1051" s="16" t="s">
        <v>588</v>
      </c>
      <c r="F1051" s="27">
        <v>11</v>
      </c>
      <c r="G1051" s="67">
        <v>15.61</v>
      </c>
      <c r="H1051" s="67">
        <v>18.82</v>
      </c>
      <c r="I1051" s="18">
        <v>207.02</v>
      </c>
      <c r="J1051" s="40">
        <v>1.1827608376663504E-5</v>
      </c>
    </row>
    <row r="1052" spans="1:10" x14ac:dyDescent="0.25">
      <c r="A1052" s="43" t="s">
        <v>24</v>
      </c>
      <c r="B1052" s="83"/>
      <c r="C1052" s="83"/>
      <c r="D1052" s="84" t="s">
        <v>3</v>
      </c>
      <c r="E1052" s="85" t="s">
        <v>25</v>
      </c>
      <c r="F1052" s="85"/>
      <c r="G1052" s="85"/>
      <c r="H1052" s="86"/>
      <c r="I1052" s="87" t="s">
        <v>1911</v>
      </c>
      <c r="J1052" s="44"/>
    </row>
    <row r="1053" spans="1:10" ht="26.4" x14ac:dyDescent="0.25">
      <c r="A1053" s="51"/>
      <c r="B1053" s="83"/>
      <c r="C1053" s="83"/>
      <c r="D1053" s="84" t="s">
        <v>837</v>
      </c>
      <c r="E1053" s="85">
        <f>11</f>
        <v>11</v>
      </c>
      <c r="F1053" s="85"/>
      <c r="G1053" s="85"/>
      <c r="H1053" s="85"/>
      <c r="I1053" s="88">
        <v>11</v>
      </c>
      <c r="J1053" s="44" t="s">
        <v>27</v>
      </c>
    </row>
    <row r="1054" spans="1:10" ht="26.4" x14ac:dyDescent="0.25">
      <c r="A1054" s="39" t="s">
        <v>928</v>
      </c>
      <c r="B1054" s="16" t="s">
        <v>929</v>
      </c>
      <c r="C1054" s="16" t="s">
        <v>21</v>
      </c>
      <c r="D1054" s="17" t="s">
        <v>930</v>
      </c>
      <c r="E1054" s="16" t="s">
        <v>588</v>
      </c>
      <c r="F1054" s="27">
        <v>3</v>
      </c>
      <c r="G1054" s="67">
        <v>21.07</v>
      </c>
      <c r="H1054" s="67">
        <v>25.41</v>
      </c>
      <c r="I1054" s="18">
        <v>76.23</v>
      </c>
      <c r="J1054" s="40">
        <v>4.3552245510243404E-6</v>
      </c>
    </row>
    <row r="1055" spans="1:10" x14ac:dyDescent="0.25">
      <c r="A1055" s="43" t="s">
        <v>24</v>
      </c>
      <c r="B1055" s="83"/>
      <c r="C1055" s="83"/>
      <c r="D1055" s="84" t="s">
        <v>3</v>
      </c>
      <c r="E1055" s="85" t="s">
        <v>25</v>
      </c>
      <c r="F1055" s="85"/>
      <c r="G1055" s="85"/>
      <c r="H1055" s="86"/>
      <c r="I1055" s="87" t="s">
        <v>1911</v>
      </c>
      <c r="J1055" s="44"/>
    </row>
    <row r="1056" spans="1:10" ht="26.4" x14ac:dyDescent="0.25">
      <c r="A1056" s="51"/>
      <c r="B1056" s="83"/>
      <c r="C1056" s="83"/>
      <c r="D1056" s="84" t="s">
        <v>837</v>
      </c>
      <c r="E1056" s="85">
        <f>3</f>
        <v>3</v>
      </c>
      <c r="F1056" s="85"/>
      <c r="G1056" s="85"/>
      <c r="H1056" s="85"/>
      <c r="I1056" s="88">
        <v>3</v>
      </c>
      <c r="J1056" s="44" t="s">
        <v>27</v>
      </c>
    </row>
    <row r="1057" spans="1:10" ht="26.4" x14ac:dyDescent="0.25">
      <c r="A1057" s="39" t="s">
        <v>931</v>
      </c>
      <c r="B1057" s="16" t="s">
        <v>932</v>
      </c>
      <c r="C1057" s="16" t="s">
        <v>21</v>
      </c>
      <c r="D1057" s="17" t="s">
        <v>933</v>
      </c>
      <c r="E1057" s="16" t="s">
        <v>588</v>
      </c>
      <c r="F1057" s="27">
        <v>2</v>
      </c>
      <c r="G1057" s="67">
        <v>17.52</v>
      </c>
      <c r="H1057" s="67">
        <v>21.12</v>
      </c>
      <c r="I1057" s="18">
        <v>42.24</v>
      </c>
      <c r="J1057" s="40">
        <v>2.413284599701799E-6</v>
      </c>
    </row>
    <row r="1058" spans="1:10" x14ac:dyDescent="0.25">
      <c r="A1058" s="43" t="s">
        <v>24</v>
      </c>
      <c r="B1058" s="83"/>
      <c r="C1058" s="83"/>
      <c r="D1058" s="84" t="s">
        <v>3</v>
      </c>
      <c r="E1058" s="85" t="s">
        <v>25</v>
      </c>
      <c r="F1058" s="85"/>
      <c r="G1058" s="85"/>
      <c r="H1058" s="86"/>
      <c r="I1058" s="87" t="s">
        <v>1911</v>
      </c>
      <c r="J1058" s="44"/>
    </row>
    <row r="1059" spans="1:10" ht="26.4" x14ac:dyDescent="0.25">
      <c r="A1059" s="51"/>
      <c r="B1059" s="83"/>
      <c r="C1059" s="83"/>
      <c r="D1059" s="84" t="s">
        <v>837</v>
      </c>
      <c r="E1059" s="85">
        <f>2</f>
        <v>2</v>
      </c>
      <c r="F1059" s="85"/>
      <c r="G1059" s="85"/>
      <c r="H1059" s="85"/>
      <c r="I1059" s="88">
        <v>2</v>
      </c>
      <c r="J1059" s="44" t="s">
        <v>27</v>
      </c>
    </row>
    <row r="1060" spans="1:10" ht="26.4" x14ac:dyDescent="0.25">
      <c r="A1060" s="39" t="s">
        <v>934</v>
      </c>
      <c r="B1060" s="16" t="s">
        <v>935</v>
      </c>
      <c r="C1060" s="16" t="s">
        <v>21</v>
      </c>
      <c r="D1060" s="17" t="s">
        <v>936</v>
      </c>
      <c r="E1060" s="16" t="s">
        <v>588</v>
      </c>
      <c r="F1060" s="27">
        <v>4</v>
      </c>
      <c r="G1060" s="67">
        <v>34.26</v>
      </c>
      <c r="H1060" s="67">
        <v>41.31</v>
      </c>
      <c r="I1060" s="18">
        <v>165.24</v>
      </c>
      <c r="J1060" s="40">
        <v>9.4406048119016391E-6</v>
      </c>
    </row>
    <row r="1061" spans="1:10" x14ac:dyDescent="0.25">
      <c r="A1061" s="43" t="s">
        <v>24</v>
      </c>
      <c r="B1061" s="83"/>
      <c r="C1061" s="83"/>
      <c r="D1061" s="84" t="s">
        <v>3</v>
      </c>
      <c r="E1061" s="85" t="s">
        <v>25</v>
      </c>
      <c r="F1061" s="85"/>
      <c r="G1061" s="85"/>
      <c r="H1061" s="86"/>
      <c r="I1061" s="87" t="s">
        <v>1911</v>
      </c>
      <c r="J1061" s="44"/>
    </row>
    <row r="1062" spans="1:10" ht="26.4" x14ac:dyDescent="0.25">
      <c r="A1062" s="51"/>
      <c r="B1062" s="83"/>
      <c r="C1062" s="83"/>
      <c r="D1062" s="84" t="s">
        <v>837</v>
      </c>
      <c r="E1062" s="85">
        <f>4</f>
        <v>4</v>
      </c>
      <c r="F1062" s="85"/>
      <c r="G1062" s="85"/>
      <c r="H1062" s="85"/>
      <c r="I1062" s="88">
        <v>4</v>
      </c>
      <c r="J1062" s="44" t="s">
        <v>27</v>
      </c>
    </row>
    <row r="1063" spans="1:10" ht="26.4" x14ac:dyDescent="0.25">
      <c r="A1063" s="39" t="s">
        <v>937</v>
      </c>
      <c r="B1063" s="16" t="s">
        <v>938</v>
      </c>
      <c r="C1063" s="16" t="s">
        <v>21</v>
      </c>
      <c r="D1063" s="17" t="s">
        <v>939</v>
      </c>
      <c r="E1063" s="16" t="s">
        <v>588</v>
      </c>
      <c r="F1063" s="27">
        <v>2</v>
      </c>
      <c r="G1063" s="67">
        <v>80.64</v>
      </c>
      <c r="H1063" s="67">
        <v>97.25</v>
      </c>
      <c r="I1063" s="18">
        <v>194.5</v>
      </c>
      <c r="J1063" s="40">
        <v>1.1112307164820073E-5</v>
      </c>
    </row>
    <row r="1064" spans="1:10" x14ac:dyDescent="0.25">
      <c r="A1064" s="43" t="s">
        <v>24</v>
      </c>
      <c r="B1064" s="83"/>
      <c r="C1064" s="83"/>
      <c r="D1064" s="84" t="s">
        <v>3</v>
      </c>
      <c r="E1064" s="85" t="s">
        <v>25</v>
      </c>
      <c r="F1064" s="85"/>
      <c r="G1064" s="85"/>
      <c r="H1064" s="86"/>
      <c r="I1064" s="87" t="s">
        <v>1911</v>
      </c>
      <c r="J1064" s="44"/>
    </row>
    <row r="1065" spans="1:10" ht="26.4" x14ac:dyDescent="0.25">
      <c r="A1065" s="51"/>
      <c r="B1065" s="83"/>
      <c r="C1065" s="83"/>
      <c r="D1065" s="84" t="s">
        <v>837</v>
      </c>
      <c r="E1065" s="85">
        <f>2</f>
        <v>2</v>
      </c>
      <c r="F1065" s="85"/>
      <c r="G1065" s="85"/>
      <c r="H1065" s="85"/>
      <c r="I1065" s="88">
        <v>2</v>
      </c>
      <c r="J1065" s="44" t="s">
        <v>27</v>
      </c>
    </row>
    <row r="1066" spans="1:10" x14ac:dyDescent="0.25">
      <c r="A1066" s="41" t="s">
        <v>940</v>
      </c>
      <c r="B1066" s="13"/>
      <c r="C1066" s="13"/>
      <c r="D1066" s="14" t="s">
        <v>941</v>
      </c>
      <c r="E1066" s="14"/>
      <c r="F1066" s="26">
        <v>1</v>
      </c>
      <c r="G1066" s="66"/>
      <c r="H1066" s="66"/>
      <c r="I1066" s="15">
        <v>3178.04</v>
      </c>
      <c r="J1066" s="42">
        <v>1.8156995713154131E-4</v>
      </c>
    </row>
    <row r="1067" spans="1:10" ht="26.4" x14ac:dyDescent="0.25">
      <c r="A1067" s="39" t="s">
        <v>942</v>
      </c>
      <c r="B1067" s="16" t="s">
        <v>943</v>
      </c>
      <c r="C1067" s="16" t="s">
        <v>21</v>
      </c>
      <c r="D1067" s="17" t="s">
        <v>944</v>
      </c>
      <c r="E1067" s="16" t="s">
        <v>588</v>
      </c>
      <c r="F1067" s="27">
        <v>1</v>
      </c>
      <c r="G1067" s="67">
        <v>47.81</v>
      </c>
      <c r="H1067" s="67">
        <v>57.65</v>
      </c>
      <c r="I1067" s="18">
        <v>57.65</v>
      </c>
      <c r="J1067" s="40">
        <v>3.2936992701896003E-6</v>
      </c>
    </row>
    <row r="1068" spans="1:10" x14ac:dyDescent="0.25">
      <c r="A1068" s="43" t="s">
        <v>24</v>
      </c>
      <c r="B1068" s="83"/>
      <c r="C1068" s="83"/>
      <c r="D1068" s="84" t="s">
        <v>3</v>
      </c>
      <c r="E1068" s="85" t="s">
        <v>25</v>
      </c>
      <c r="F1068" s="85"/>
      <c r="G1068" s="85"/>
      <c r="H1068" s="86"/>
      <c r="I1068" s="87" t="s">
        <v>1911</v>
      </c>
      <c r="J1068" s="44"/>
    </row>
    <row r="1069" spans="1:10" ht="26.4" x14ac:dyDescent="0.25">
      <c r="A1069" s="51"/>
      <c r="B1069" s="83"/>
      <c r="C1069" s="83"/>
      <c r="D1069" s="84" t="s">
        <v>837</v>
      </c>
      <c r="E1069" s="85">
        <f>1</f>
        <v>1</v>
      </c>
      <c r="F1069" s="85"/>
      <c r="G1069" s="85"/>
      <c r="H1069" s="85"/>
      <c r="I1069" s="88">
        <v>1</v>
      </c>
      <c r="J1069" s="44" t="s">
        <v>27</v>
      </c>
    </row>
    <row r="1070" spans="1:10" ht="26.4" x14ac:dyDescent="0.25">
      <c r="A1070" s="39" t="s">
        <v>945</v>
      </c>
      <c r="B1070" s="16" t="s">
        <v>946</v>
      </c>
      <c r="C1070" s="16" t="s">
        <v>21</v>
      </c>
      <c r="D1070" s="17" t="s">
        <v>947</v>
      </c>
      <c r="E1070" s="16" t="s">
        <v>588</v>
      </c>
      <c r="F1070" s="27">
        <v>1</v>
      </c>
      <c r="G1070" s="67">
        <v>24.92</v>
      </c>
      <c r="H1070" s="67">
        <v>30.05</v>
      </c>
      <c r="I1070" s="18">
        <v>30.05</v>
      </c>
      <c r="J1070" s="40">
        <v>1.7168371737935382E-6</v>
      </c>
    </row>
    <row r="1071" spans="1:10" x14ac:dyDescent="0.25">
      <c r="A1071" s="43" t="s">
        <v>24</v>
      </c>
      <c r="B1071" s="83"/>
      <c r="C1071" s="83"/>
      <c r="D1071" s="84" t="s">
        <v>3</v>
      </c>
      <c r="E1071" s="85" t="s">
        <v>25</v>
      </c>
      <c r="F1071" s="85"/>
      <c r="G1071" s="85"/>
      <c r="H1071" s="86"/>
      <c r="I1071" s="87" t="s">
        <v>1911</v>
      </c>
      <c r="J1071" s="44"/>
    </row>
    <row r="1072" spans="1:10" ht="26.4" x14ac:dyDescent="0.25">
      <c r="A1072" s="51"/>
      <c r="B1072" s="83"/>
      <c r="C1072" s="83"/>
      <c r="D1072" s="84" t="s">
        <v>837</v>
      </c>
      <c r="E1072" s="85">
        <f>1</f>
        <v>1</v>
      </c>
      <c r="F1072" s="85"/>
      <c r="G1072" s="85"/>
      <c r="H1072" s="85"/>
      <c r="I1072" s="88">
        <v>1</v>
      </c>
      <c r="J1072" s="44" t="s">
        <v>27</v>
      </c>
    </row>
    <row r="1073" spans="1:10" ht="26.4" x14ac:dyDescent="0.25">
      <c r="A1073" s="39" t="s">
        <v>948</v>
      </c>
      <c r="B1073" s="16" t="s">
        <v>949</v>
      </c>
      <c r="C1073" s="16" t="s">
        <v>21</v>
      </c>
      <c r="D1073" s="17" t="s">
        <v>950</v>
      </c>
      <c r="E1073" s="16" t="s">
        <v>588</v>
      </c>
      <c r="F1073" s="27">
        <v>10</v>
      </c>
      <c r="G1073" s="67">
        <v>69.56</v>
      </c>
      <c r="H1073" s="67">
        <v>83.88</v>
      </c>
      <c r="I1073" s="18">
        <v>838.8</v>
      </c>
      <c r="J1073" s="40">
        <v>4.792289588612379E-5</v>
      </c>
    </row>
    <row r="1074" spans="1:10" x14ac:dyDescent="0.25">
      <c r="A1074" s="43" t="s">
        <v>24</v>
      </c>
      <c r="B1074" s="83"/>
      <c r="C1074" s="83"/>
      <c r="D1074" s="84" t="s">
        <v>3</v>
      </c>
      <c r="E1074" s="85" t="s">
        <v>25</v>
      </c>
      <c r="F1074" s="85"/>
      <c r="G1074" s="85"/>
      <c r="H1074" s="86"/>
      <c r="I1074" s="87" t="s">
        <v>1911</v>
      </c>
      <c r="J1074" s="44"/>
    </row>
    <row r="1075" spans="1:10" ht="26.4" x14ac:dyDescent="0.25">
      <c r="A1075" s="51"/>
      <c r="B1075" s="83"/>
      <c r="C1075" s="83"/>
      <c r="D1075" s="84" t="s">
        <v>837</v>
      </c>
      <c r="E1075" s="85">
        <f>10</f>
        <v>10</v>
      </c>
      <c r="F1075" s="85"/>
      <c r="G1075" s="85"/>
      <c r="H1075" s="85"/>
      <c r="I1075" s="88">
        <v>10</v>
      </c>
      <c r="J1075" s="44" t="s">
        <v>27</v>
      </c>
    </row>
    <row r="1076" spans="1:10" ht="39.6" x14ac:dyDescent="0.25">
      <c r="A1076" s="39" t="s">
        <v>951</v>
      </c>
      <c r="B1076" s="16" t="s">
        <v>952</v>
      </c>
      <c r="C1076" s="16" t="s">
        <v>21</v>
      </c>
      <c r="D1076" s="17" t="s">
        <v>953</v>
      </c>
      <c r="E1076" s="16" t="s">
        <v>588</v>
      </c>
      <c r="F1076" s="27">
        <v>12</v>
      </c>
      <c r="G1076" s="67">
        <v>92.83</v>
      </c>
      <c r="H1076" s="67">
        <v>111.95</v>
      </c>
      <c r="I1076" s="18">
        <v>1343.4</v>
      </c>
      <c r="J1076" s="40">
        <v>7.6752048561538742E-5</v>
      </c>
    </row>
    <row r="1077" spans="1:10" x14ac:dyDescent="0.25">
      <c r="A1077" s="43" t="s">
        <v>24</v>
      </c>
      <c r="B1077" s="83"/>
      <c r="C1077" s="83"/>
      <c r="D1077" s="84" t="s">
        <v>3</v>
      </c>
      <c r="E1077" s="85" t="s">
        <v>25</v>
      </c>
      <c r="F1077" s="85"/>
      <c r="G1077" s="85"/>
      <c r="H1077" s="86"/>
      <c r="I1077" s="87" t="s">
        <v>1911</v>
      </c>
      <c r="J1077" s="44"/>
    </row>
    <row r="1078" spans="1:10" ht="26.4" x14ac:dyDescent="0.25">
      <c r="A1078" s="51"/>
      <c r="B1078" s="83"/>
      <c r="C1078" s="83"/>
      <c r="D1078" s="84" t="s">
        <v>837</v>
      </c>
      <c r="E1078" s="85">
        <f>12</f>
        <v>12</v>
      </c>
      <c r="F1078" s="85"/>
      <c r="G1078" s="85"/>
      <c r="H1078" s="85"/>
      <c r="I1078" s="88">
        <v>12</v>
      </c>
      <c r="J1078" s="44" t="s">
        <v>27</v>
      </c>
    </row>
    <row r="1079" spans="1:10" ht="26.4" x14ac:dyDescent="0.25">
      <c r="A1079" s="39" t="s">
        <v>954</v>
      </c>
      <c r="B1079" s="16" t="s">
        <v>955</v>
      </c>
      <c r="C1079" s="16" t="s">
        <v>21</v>
      </c>
      <c r="D1079" s="17" t="s">
        <v>956</v>
      </c>
      <c r="E1079" s="16" t="s">
        <v>588</v>
      </c>
      <c r="F1079" s="27">
        <v>2</v>
      </c>
      <c r="G1079" s="67">
        <v>222.4</v>
      </c>
      <c r="H1079" s="67">
        <v>268.20999999999998</v>
      </c>
      <c r="I1079" s="18">
        <v>536.41999999999996</v>
      </c>
      <c r="J1079" s="40">
        <v>3.0647114701042589E-5</v>
      </c>
    </row>
    <row r="1080" spans="1:10" x14ac:dyDescent="0.25">
      <c r="A1080" s="43" t="s">
        <v>24</v>
      </c>
      <c r="B1080" s="83"/>
      <c r="C1080" s="83"/>
      <c r="D1080" s="84" t="s">
        <v>3</v>
      </c>
      <c r="E1080" s="85" t="s">
        <v>25</v>
      </c>
      <c r="F1080" s="85"/>
      <c r="G1080" s="85"/>
      <c r="H1080" s="86"/>
      <c r="I1080" s="87" t="s">
        <v>1911</v>
      </c>
      <c r="J1080" s="44"/>
    </row>
    <row r="1081" spans="1:10" ht="26.4" x14ac:dyDescent="0.25">
      <c r="A1081" s="51"/>
      <c r="B1081" s="83"/>
      <c r="C1081" s="83"/>
      <c r="D1081" s="84" t="s">
        <v>837</v>
      </c>
      <c r="E1081" s="85">
        <f>2</f>
        <v>2</v>
      </c>
      <c r="F1081" s="85"/>
      <c r="G1081" s="85"/>
      <c r="H1081" s="85"/>
      <c r="I1081" s="88">
        <v>2</v>
      </c>
      <c r="J1081" s="44" t="s">
        <v>27</v>
      </c>
    </row>
    <row r="1082" spans="1:10" x14ac:dyDescent="0.25">
      <c r="A1082" s="45" t="s">
        <v>957</v>
      </c>
      <c r="B1082" s="21" t="s">
        <v>958</v>
      </c>
      <c r="C1082" s="21" t="s">
        <v>582</v>
      </c>
      <c r="D1082" s="22" t="s">
        <v>959</v>
      </c>
      <c r="E1082" s="21" t="s">
        <v>588</v>
      </c>
      <c r="F1082" s="28">
        <v>2</v>
      </c>
      <c r="G1082" s="68">
        <v>117.19</v>
      </c>
      <c r="H1082" s="68">
        <v>129.94999999999999</v>
      </c>
      <c r="I1082" s="23">
        <v>259.89999999999998</v>
      </c>
      <c r="J1082" s="46">
        <v>1.4848784741062916E-5</v>
      </c>
    </row>
    <row r="1083" spans="1:10" x14ac:dyDescent="0.25">
      <c r="A1083" s="43" t="s">
        <v>24</v>
      </c>
      <c r="B1083" s="83"/>
      <c r="C1083" s="83"/>
      <c r="D1083" s="84" t="s">
        <v>3</v>
      </c>
      <c r="E1083" s="85" t="s">
        <v>25</v>
      </c>
      <c r="F1083" s="85"/>
      <c r="G1083" s="85"/>
      <c r="H1083" s="86"/>
      <c r="I1083" s="87" t="s">
        <v>1911</v>
      </c>
      <c r="J1083" s="44"/>
    </row>
    <row r="1084" spans="1:10" ht="26.4" x14ac:dyDescent="0.25">
      <c r="A1084" s="51"/>
      <c r="B1084" s="83"/>
      <c r="C1084" s="83"/>
      <c r="D1084" s="84" t="s">
        <v>837</v>
      </c>
      <c r="E1084" s="85">
        <f>2</f>
        <v>2</v>
      </c>
      <c r="F1084" s="85"/>
      <c r="G1084" s="85"/>
      <c r="H1084" s="85"/>
      <c r="I1084" s="88">
        <v>2</v>
      </c>
      <c r="J1084" s="44" t="s">
        <v>27</v>
      </c>
    </row>
    <row r="1085" spans="1:10" x14ac:dyDescent="0.25">
      <c r="A1085" s="45" t="s">
        <v>960</v>
      </c>
      <c r="B1085" s="21" t="s">
        <v>961</v>
      </c>
      <c r="C1085" s="21" t="s">
        <v>582</v>
      </c>
      <c r="D1085" s="22" t="s">
        <v>962</v>
      </c>
      <c r="E1085" s="21" t="s">
        <v>588</v>
      </c>
      <c r="F1085" s="28">
        <v>2</v>
      </c>
      <c r="G1085" s="68">
        <v>50.42</v>
      </c>
      <c r="H1085" s="68">
        <v>55.91</v>
      </c>
      <c r="I1085" s="23">
        <v>111.82</v>
      </c>
      <c r="J1085" s="46">
        <v>6.3885767977901315E-6</v>
      </c>
    </row>
    <row r="1086" spans="1:10" x14ac:dyDescent="0.25">
      <c r="A1086" s="43" t="s">
        <v>24</v>
      </c>
      <c r="B1086" s="83"/>
      <c r="C1086" s="83"/>
      <c r="D1086" s="84" t="s">
        <v>3</v>
      </c>
      <c r="E1086" s="85" t="s">
        <v>25</v>
      </c>
      <c r="F1086" s="85"/>
      <c r="G1086" s="85"/>
      <c r="H1086" s="86"/>
      <c r="I1086" s="87" t="s">
        <v>1911</v>
      </c>
      <c r="J1086" s="44"/>
    </row>
    <row r="1087" spans="1:10" ht="26.4" x14ac:dyDescent="0.25">
      <c r="A1087" s="51"/>
      <c r="B1087" s="83"/>
      <c r="C1087" s="83"/>
      <c r="D1087" s="84" t="s">
        <v>837</v>
      </c>
      <c r="E1087" s="85">
        <f>2</f>
        <v>2</v>
      </c>
      <c r="F1087" s="85"/>
      <c r="G1087" s="85"/>
      <c r="H1087" s="85"/>
      <c r="I1087" s="88">
        <v>2</v>
      </c>
      <c r="J1087" s="44" t="s">
        <v>27</v>
      </c>
    </row>
    <row r="1088" spans="1:10" x14ac:dyDescent="0.25">
      <c r="A1088" s="41" t="s">
        <v>963</v>
      </c>
      <c r="B1088" s="13"/>
      <c r="C1088" s="13"/>
      <c r="D1088" s="14" t="s">
        <v>964</v>
      </c>
      <c r="E1088" s="14"/>
      <c r="F1088" s="26">
        <v>1</v>
      </c>
      <c r="G1088" s="66"/>
      <c r="H1088" s="66"/>
      <c r="I1088" s="15">
        <v>4868.8900000000003</v>
      </c>
      <c r="J1088" s="42">
        <v>2.7817275697542828E-4</v>
      </c>
    </row>
    <row r="1089" spans="1:10" ht="26.4" x14ac:dyDescent="0.25">
      <c r="A1089" s="39" t="s">
        <v>965</v>
      </c>
      <c r="B1089" s="16" t="s">
        <v>966</v>
      </c>
      <c r="C1089" s="16" t="s">
        <v>21</v>
      </c>
      <c r="D1089" s="17" t="s">
        <v>967</v>
      </c>
      <c r="E1089" s="16" t="s">
        <v>588</v>
      </c>
      <c r="F1089" s="27">
        <v>2</v>
      </c>
      <c r="G1089" s="67">
        <v>1439.75</v>
      </c>
      <c r="H1089" s="67">
        <v>1736.33</v>
      </c>
      <c r="I1089" s="18">
        <v>3472.66</v>
      </c>
      <c r="J1089" s="40">
        <v>1.9840238868372274E-4</v>
      </c>
    </row>
    <row r="1090" spans="1:10" x14ac:dyDescent="0.25">
      <c r="A1090" s="43" t="s">
        <v>24</v>
      </c>
      <c r="B1090" s="83"/>
      <c r="C1090" s="83"/>
      <c r="D1090" s="84" t="s">
        <v>3</v>
      </c>
      <c r="E1090" s="85" t="s">
        <v>25</v>
      </c>
      <c r="F1090" s="85"/>
      <c r="G1090" s="85"/>
      <c r="H1090" s="86"/>
      <c r="I1090" s="87" t="s">
        <v>1911</v>
      </c>
      <c r="J1090" s="44"/>
    </row>
    <row r="1091" spans="1:10" ht="26.4" x14ac:dyDescent="0.25">
      <c r="A1091" s="51"/>
      <c r="B1091" s="83"/>
      <c r="C1091" s="83"/>
      <c r="D1091" s="84" t="s">
        <v>837</v>
      </c>
      <c r="E1091" s="85">
        <f>2</f>
        <v>2</v>
      </c>
      <c r="F1091" s="85"/>
      <c r="G1091" s="85"/>
      <c r="H1091" s="85"/>
      <c r="I1091" s="88">
        <v>2</v>
      </c>
      <c r="J1091" s="44" t="s">
        <v>27</v>
      </c>
    </row>
    <row r="1092" spans="1:10" ht="26.4" x14ac:dyDescent="0.25">
      <c r="A1092" s="39" t="s">
        <v>968</v>
      </c>
      <c r="B1092" s="16" t="s">
        <v>969</v>
      </c>
      <c r="C1092" s="16" t="s">
        <v>14</v>
      </c>
      <c r="D1092" s="17" t="s">
        <v>970</v>
      </c>
      <c r="E1092" s="16" t="s">
        <v>16</v>
      </c>
      <c r="F1092" s="27">
        <v>1</v>
      </c>
      <c r="G1092" s="67">
        <v>1157.74</v>
      </c>
      <c r="H1092" s="67">
        <v>1396.23</v>
      </c>
      <c r="I1092" s="18">
        <v>1396.23</v>
      </c>
      <c r="J1092" s="40">
        <v>7.9770368291705554E-5</v>
      </c>
    </row>
    <row r="1093" spans="1:10" x14ac:dyDescent="0.25">
      <c r="A1093" s="41" t="s">
        <v>971</v>
      </c>
      <c r="B1093" s="13"/>
      <c r="C1093" s="13"/>
      <c r="D1093" s="14" t="s">
        <v>199</v>
      </c>
      <c r="E1093" s="14"/>
      <c r="F1093" s="26">
        <v>1</v>
      </c>
      <c r="G1093" s="66"/>
      <c r="H1093" s="66"/>
      <c r="I1093" s="15">
        <v>155071.12</v>
      </c>
      <c r="J1093" s="42">
        <v>8.8596293975972927E-3</v>
      </c>
    </row>
    <row r="1094" spans="1:10" x14ac:dyDescent="0.25">
      <c r="A1094" s="41" t="s">
        <v>972</v>
      </c>
      <c r="B1094" s="13"/>
      <c r="C1094" s="13"/>
      <c r="D1094" s="14" t="s">
        <v>973</v>
      </c>
      <c r="E1094" s="14"/>
      <c r="F1094" s="26">
        <v>1</v>
      </c>
      <c r="G1094" s="66"/>
      <c r="H1094" s="66"/>
      <c r="I1094" s="15">
        <v>30706.92</v>
      </c>
      <c r="J1094" s="42">
        <v>1.7543687769951506E-3</v>
      </c>
    </row>
    <row r="1095" spans="1:10" ht="26.4" x14ac:dyDescent="0.25">
      <c r="A1095" s="39" t="s">
        <v>974</v>
      </c>
      <c r="B1095" s="16" t="s">
        <v>975</v>
      </c>
      <c r="C1095" s="16" t="s">
        <v>21</v>
      </c>
      <c r="D1095" s="17" t="s">
        <v>976</v>
      </c>
      <c r="E1095" s="16" t="s">
        <v>52</v>
      </c>
      <c r="F1095" s="27">
        <v>8.92</v>
      </c>
      <c r="G1095" s="67">
        <v>16.25</v>
      </c>
      <c r="H1095" s="67">
        <v>19.59</v>
      </c>
      <c r="I1095" s="18">
        <v>174.74</v>
      </c>
      <c r="J1095" s="40">
        <v>9.9833653160959358E-6</v>
      </c>
    </row>
    <row r="1096" spans="1:10" x14ac:dyDescent="0.25">
      <c r="A1096" s="43" t="s">
        <v>24</v>
      </c>
      <c r="B1096" s="83"/>
      <c r="C1096" s="83"/>
      <c r="D1096" s="84" t="s">
        <v>3</v>
      </c>
      <c r="E1096" s="85" t="s">
        <v>25</v>
      </c>
      <c r="F1096" s="85"/>
      <c r="G1096" s="85"/>
      <c r="H1096" s="86"/>
      <c r="I1096" s="87" t="s">
        <v>1911</v>
      </c>
      <c r="J1096" s="44"/>
    </row>
    <row r="1097" spans="1:10" ht="26.4" x14ac:dyDescent="0.25">
      <c r="A1097" s="51"/>
      <c r="B1097" s="83"/>
      <c r="C1097" s="83"/>
      <c r="D1097" s="84" t="s">
        <v>837</v>
      </c>
      <c r="E1097" s="85">
        <f>8.92</f>
        <v>8.92</v>
      </c>
      <c r="F1097" s="85"/>
      <c r="G1097" s="85"/>
      <c r="H1097" s="85"/>
      <c r="I1097" s="88">
        <v>8.92</v>
      </c>
      <c r="J1097" s="44" t="s">
        <v>27</v>
      </c>
    </row>
    <row r="1098" spans="1:10" ht="26.4" x14ac:dyDescent="0.25">
      <c r="A1098" s="39" t="s">
        <v>977</v>
      </c>
      <c r="B1098" s="16" t="s">
        <v>978</v>
      </c>
      <c r="C1098" s="16" t="s">
        <v>21</v>
      </c>
      <c r="D1098" s="17" t="s">
        <v>979</v>
      </c>
      <c r="E1098" s="16" t="s">
        <v>52</v>
      </c>
      <c r="F1098" s="27">
        <v>218.48</v>
      </c>
      <c r="G1098" s="67">
        <v>28.61</v>
      </c>
      <c r="H1098" s="67">
        <v>34.5</v>
      </c>
      <c r="I1098" s="18">
        <v>7537.56</v>
      </c>
      <c r="J1098" s="40">
        <v>4.306410385257645E-4</v>
      </c>
    </row>
    <row r="1099" spans="1:10" x14ac:dyDescent="0.25">
      <c r="A1099" s="43" t="s">
        <v>24</v>
      </c>
      <c r="B1099" s="83"/>
      <c r="C1099" s="83"/>
      <c r="D1099" s="84" t="s">
        <v>3</v>
      </c>
      <c r="E1099" s="85" t="s">
        <v>25</v>
      </c>
      <c r="F1099" s="85"/>
      <c r="G1099" s="85"/>
      <c r="H1099" s="86"/>
      <c r="I1099" s="87" t="s">
        <v>1911</v>
      </c>
      <c r="J1099" s="44"/>
    </row>
    <row r="1100" spans="1:10" ht="26.4" x14ac:dyDescent="0.25">
      <c r="A1100" s="51"/>
      <c r="B1100" s="83"/>
      <c r="C1100" s="83"/>
      <c r="D1100" s="84" t="s">
        <v>837</v>
      </c>
      <c r="E1100" s="85">
        <f>218.48</f>
        <v>218.48</v>
      </c>
      <c r="F1100" s="85"/>
      <c r="G1100" s="85"/>
      <c r="H1100" s="85"/>
      <c r="I1100" s="88">
        <v>218.48</v>
      </c>
      <c r="J1100" s="44" t="s">
        <v>27</v>
      </c>
    </row>
    <row r="1101" spans="1:10" ht="26.4" x14ac:dyDescent="0.25">
      <c r="A1101" s="39" t="s">
        <v>980</v>
      </c>
      <c r="B1101" s="16" t="s">
        <v>845</v>
      </c>
      <c r="C1101" s="16" t="s">
        <v>21</v>
      </c>
      <c r="D1101" s="17" t="s">
        <v>846</v>
      </c>
      <c r="E1101" s="16" t="s">
        <v>52</v>
      </c>
      <c r="F1101" s="27">
        <v>242.98</v>
      </c>
      <c r="G1101" s="67">
        <v>28.82</v>
      </c>
      <c r="H1101" s="67">
        <v>34.75</v>
      </c>
      <c r="I1101" s="18">
        <v>8443.5499999999993</v>
      </c>
      <c r="J1101" s="40">
        <v>4.8240267949365822E-4</v>
      </c>
    </row>
    <row r="1102" spans="1:10" x14ac:dyDescent="0.25">
      <c r="A1102" s="43" t="s">
        <v>24</v>
      </c>
      <c r="B1102" s="83"/>
      <c r="C1102" s="83"/>
      <c r="D1102" s="84" t="s">
        <v>3</v>
      </c>
      <c r="E1102" s="85" t="s">
        <v>25</v>
      </c>
      <c r="F1102" s="85"/>
      <c r="G1102" s="85"/>
      <c r="H1102" s="86"/>
      <c r="I1102" s="87" t="s">
        <v>1911</v>
      </c>
      <c r="J1102" s="44"/>
    </row>
    <row r="1103" spans="1:10" ht="26.4" x14ac:dyDescent="0.25">
      <c r="A1103" s="51"/>
      <c r="B1103" s="83"/>
      <c r="C1103" s="83"/>
      <c r="D1103" s="84" t="s">
        <v>837</v>
      </c>
      <c r="E1103" s="85">
        <f>242.98</f>
        <v>242.98</v>
      </c>
      <c r="F1103" s="85"/>
      <c r="G1103" s="85"/>
      <c r="H1103" s="85"/>
      <c r="I1103" s="88">
        <v>242.98</v>
      </c>
      <c r="J1103" s="44" t="s">
        <v>27</v>
      </c>
    </row>
    <row r="1104" spans="1:10" ht="26.4" x14ac:dyDescent="0.25">
      <c r="A1104" s="39" t="s">
        <v>981</v>
      </c>
      <c r="B1104" s="16" t="s">
        <v>982</v>
      </c>
      <c r="C1104" s="16" t="s">
        <v>21</v>
      </c>
      <c r="D1104" s="17" t="s">
        <v>983</v>
      </c>
      <c r="E1104" s="16" t="s">
        <v>52</v>
      </c>
      <c r="F1104" s="27">
        <v>81.88</v>
      </c>
      <c r="G1104" s="67">
        <v>47.01</v>
      </c>
      <c r="H1104" s="67">
        <v>56.69</v>
      </c>
      <c r="I1104" s="18">
        <v>4641.7700000000004</v>
      </c>
      <c r="J1104" s="40">
        <v>2.6519678163725897E-4</v>
      </c>
    </row>
    <row r="1105" spans="1:10" x14ac:dyDescent="0.25">
      <c r="A1105" s="43" t="s">
        <v>24</v>
      </c>
      <c r="B1105" s="83"/>
      <c r="C1105" s="83"/>
      <c r="D1105" s="84" t="s">
        <v>3</v>
      </c>
      <c r="E1105" s="85" t="s">
        <v>25</v>
      </c>
      <c r="F1105" s="85"/>
      <c r="G1105" s="85"/>
      <c r="H1105" s="86"/>
      <c r="I1105" s="87" t="s">
        <v>1911</v>
      </c>
      <c r="J1105" s="44"/>
    </row>
    <row r="1106" spans="1:10" ht="26.4" x14ac:dyDescent="0.25">
      <c r="A1106" s="51"/>
      <c r="B1106" s="83"/>
      <c r="C1106" s="83"/>
      <c r="D1106" s="84" t="s">
        <v>837</v>
      </c>
      <c r="E1106" s="85">
        <f>81.88</f>
        <v>81.88</v>
      </c>
      <c r="F1106" s="85"/>
      <c r="G1106" s="85"/>
      <c r="H1106" s="85"/>
      <c r="I1106" s="88">
        <v>81.88</v>
      </c>
      <c r="J1106" s="44" t="s">
        <v>27</v>
      </c>
    </row>
    <row r="1107" spans="1:10" ht="39.6" x14ac:dyDescent="0.25">
      <c r="A1107" s="39" t="s">
        <v>984</v>
      </c>
      <c r="B1107" s="16" t="s">
        <v>985</v>
      </c>
      <c r="C1107" s="16" t="s">
        <v>21</v>
      </c>
      <c r="D1107" s="17" t="s">
        <v>986</v>
      </c>
      <c r="E1107" s="16" t="s">
        <v>588</v>
      </c>
      <c r="F1107" s="27">
        <v>20</v>
      </c>
      <c r="G1107" s="67">
        <v>9.68</v>
      </c>
      <c r="H1107" s="67">
        <v>11.67</v>
      </c>
      <c r="I1107" s="18">
        <v>233.4</v>
      </c>
      <c r="J1107" s="40">
        <v>1.3334768597784088E-5</v>
      </c>
    </row>
    <row r="1108" spans="1:10" x14ac:dyDescent="0.25">
      <c r="A1108" s="43" t="s">
        <v>24</v>
      </c>
      <c r="B1108" s="83"/>
      <c r="C1108" s="83"/>
      <c r="D1108" s="84" t="s">
        <v>3</v>
      </c>
      <c r="E1108" s="85" t="s">
        <v>25</v>
      </c>
      <c r="F1108" s="85"/>
      <c r="G1108" s="85"/>
      <c r="H1108" s="86"/>
      <c r="I1108" s="87" t="s">
        <v>1911</v>
      </c>
      <c r="J1108" s="44"/>
    </row>
    <row r="1109" spans="1:10" ht="26.4" x14ac:dyDescent="0.25">
      <c r="A1109" s="51"/>
      <c r="B1109" s="83"/>
      <c r="C1109" s="83"/>
      <c r="D1109" s="84" t="s">
        <v>837</v>
      </c>
      <c r="E1109" s="85">
        <f>20</f>
        <v>20</v>
      </c>
      <c r="F1109" s="85"/>
      <c r="G1109" s="85"/>
      <c r="H1109" s="85"/>
      <c r="I1109" s="88">
        <v>20</v>
      </c>
      <c r="J1109" s="44" t="s">
        <v>27</v>
      </c>
    </row>
    <row r="1110" spans="1:10" ht="39.6" x14ac:dyDescent="0.25">
      <c r="A1110" s="39" t="s">
        <v>987</v>
      </c>
      <c r="B1110" s="16" t="s">
        <v>863</v>
      </c>
      <c r="C1110" s="16" t="s">
        <v>21</v>
      </c>
      <c r="D1110" s="17" t="s">
        <v>864</v>
      </c>
      <c r="E1110" s="16" t="s">
        <v>588</v>
      </c>
      <c r="F1110" s="27">
        <v>3</v>
      </c>
      <c r="G1110" s="67">
        <v>23.73</v>
      </c>
      <c r="H1110" s="67">
        <v>28.61</v>
      </c>
      <c r="I1110" s="18">
        <v>85.83</v>
      </c>
      <c r="J1110" s="40">
        <v>4.9036983236838403E-6</v>
      </c>
    </row>
    <row r="1111" spans="1:10" x14ac:dyDescent="0.25">
      <c r="A1111" s="43" t="s">
        <v>24</v>
      </c>
      <c r="B1111" s="83"/>
      <c r="C1111" s="83"/>
      <c r="D1111" s="84" t="s">
        <v>3</v>
      </c>
      <c r="E1111" s="85" t="s">
        <v>25</v>
      </c>
      <c r="F1111" s="85"/>
      <c r="G1111" s="85"/>
      <c r="H1111" s="86"/>
      <c r="I1111" s="87" t="s">
        <v>1911</v>
      </c>
      <c r="J1111" s="44"/>
    </row>
    <row r="1112" spans="1:10" ht="26.4" x14ac:dyDescent="0.25">
      <c r="A1112" s="51"/>
      <c r="B1112" s="83"/>
      <c r="C1112" s="83"/>
      <c r="D1112" s="84" t="s">
        <v>837</v>
      </c>
      <c r="E1112" s="85">
        <f>3</f>
        <v>3</v>
      </c>
      <c r="F1112" s="85"/>
      <c r="G1112" s="85"/>
      <c r="H1112" s="85"/>
      <c r="I1112" s="88">
        <v>3</v>
      </c>
      <c r="J1112" s="44" t="s">
        <v>27</v>
      </c>
    </row>
    <row r="1113" spans="1:10" ht="39.6" x14ac:dyDescent="0.25">
      <c r="A1113" s="39" t="s">
        <v>988</v>
      </c>
      <c r="B1113" s="16" t="s">
        <v>989</v>
      </c>
      <c r="C1113" s="16" t="s">
        <v>21</v>
      </c>
      <c r="D1113" s="17" t="s">
        <v>990</v>
      </c>
      <c r="E1113" s="16" t="s">
        <v>588</v>
      </c>
      <c r="F1113" s="27">
        <v>4</v>
      </c>
      <c r="G1113" s="67">
        <v>27.43</v>
      </c>
      <c r="H1113" s="67">
        <v>33.08</v>
      </c>
      <c r="I1113" s="18">
        <v>132.32</v>
      </c>
      <c r="J1113" s="40">
        <v>7.5597968331567713E-6</v>
      </c>
    </row>
    <row r="1114" spans="1:10" x14ac:dyDescent="0.25">
      <c r="A1114" s="43" t="s">
        <v>24</v>
      </c>
      <c r="B1114" s="83"/>
      <c r="C1114" s="83"/>
      <c r="D1114" s="84" t="s">
        <v>3</v>
      </c>
      <c r="E1114" s="85" t="s">
        <v>25</v>
      </c>
      <c r="F1114" s="85"/>
      <c r="G1114" s="85"/>
      <c r="H1114" s="86"/>
      <c r="I1114" s="87" t="s">
        <v>1911</v>
      </c>
      <c r="J1114" s="44"/>
    </row>
    <row r="1115" spans="1:10" ht="26.4" x14ac:dyDescent="0.25">
      <c r="A1115" s="51"/>
      <c r="B1115" s="83"/>
      <c r="C1115" s="83"/>
      <c r="D1115" s="84" t="s">
        <v>837</v>
      </c>
      <c r="E1115" s="85">
        <f>4</f>
        <v>4</v>
      </c>
      <c r="F1115" s="85"/>
      <c r="G1115" s="85"/>
      <c r="H1115" s="85"/>
      <c r="I1115" s="88">
        <v>4</v>
      </c>
      <c r="J1115" s="44" t="s">
        <v>27</v>
      </c>
    </row>
    <row r="1116" spans="1:10" x14ac:dyDescent="0.25">
      <c r="A1116" s="39" t="s">
        <v>991</v>
      </c>
      <c r="B1116" s="16" t="s">
        <v>866</v>
      </c>
      <c r="C1116" s="16" t="s">
        <v>43</v>
      </c>
      <c r="D1116" s="17" t="s">
        <v>867</v>
      </c>
      <c r="E1116" s="16" t="s">
        <v>588</v>
      </c>
      <c r="F1116" s="27">
        <v>1</v>
      </c>
      <c r="G1116" s="67">
        <v>12.2</v>
      </c>
      <c r="H1116" s="67">
        <v>14.71</v>
      </c>
      <c r="I1116" s="18">
        <v>14.71</v>
      </c>
      <c r="J1116" s="40">
        <v>8.4042179123137932E-7</v>
      </c>
    </row>
    <row r="1117" spans="1:10" x14ac:dyDescent="0.25">
      <c r="A1117" s="43" t="s">
        <v>24</v>
      </c>
      <c r="B1117" s="83"/>
      <c r="C1117" s="83"/>
      <c r="D1117" s="84" t="s">
        <v>3</v>
      </c>
      <c r="E1117" s="85" t="s">
        <v>25</v>
      </c>
      <c r="F1117" s="85"/>
      <c r="G1117" s="85"/>
      <c r="H1117" s="86"/>
      <c r="I1117" s="87" t="s">
        <v>1911</v>
      </c>
      <c r="J1117" s="44"/>
    </row>
    <row r="1118" spans="1:10" ht="26.4" x14ac:dyDescent="0.25">
      <c r="A1118" s="51"/>
      <c r="B1118" s="83"/>
      <c r="C1118" s="83"/>
      <c r="D1118" s="84" t="s">
        <v>837</v>
      </c>
      <c r="E1118" s="85">
        <f>1</f>
        <v>1</v>
      </c>
      <c r="F1118" s="85"/>
      <c r="G1118" s="85"/>
      <c r="H1118" s="85"/>
      <c r="I1118" s="88">
        <v>1</v>
      </c>
      <c r="J1118" s="44" t="s">
        <v>27</v>
      </c>
    </row>
    <row r="1119" spans="1:10" ht="26.4" x14ac:dyDescent="0.25">
      <c r="A1119" s="39" t="s">
        <v>992</v>
      </c>
      <c r="B1119" s="16" t="s">
        <v>993</v>
      </c>
      <c r="C1119" s="16" t="s">
        <v>21</v>
      </c>
      <c r="D1119" s="17" t="s">
        <v>994</v>
      </c>
      <c r="E1119" s="16" t="s">
        <v>588</v>
      </c>
      <c r="F1119" s="27">
        <v>3</v>
      </c>
      <c r="G1119" s="67">
        <v>18.54</v>
      </c>
      <c r="H1119" s="67">
        <v>22.35</v>
      </c>
      <c r="I1119" s="18">
        <v>67.05</v>
      </c>
      <c r="J1119" s="40">
        <v>3.8307465059186937E-6</v>
      </c>
    </row>
    <row r="1120" spans="1:10" x14ac:dyDescent="0.25">
      <c r="A1120" s="43" t="s">
        <v>24</v>
      </c>
      <c r="B1120" s="83"/>
      <c r="C1120" s="83"/>
      <c r="D1120" s="84" t="s">
        <v>3</v>
      </c>
      <c r="E1120" s="85" t="s">
        <v>25</v>
      </c>
      <c r="F1120" s="85"/>
      <c r="G1120" s="85"/>
      <c r="H1120" s="86"/>
      <c r="I1120" s="87" t="s">
        <v>1911</v>
      </c>
      <c r="J1120" s="44"/>
    </row>
    <row r="1121" spans="1:10" ht="26.4" x14ac:dyDescent="0.25">
      <c r="A1121" s="51"/>
      <c r="B1121" s="83"/>
      <c r="C1121" s="83"/>
      <c r="D1121" s="84" t="s">
        <v>837</v>
      </c>
      <c r="E1121" s="85">
        <f>3</f>
        <v>3</v>
      </c>
      <c r="F1121" s="85"/>
      <c r="G1121" s="85"/>
      <c r="H1121" s="85"/>
      <c r="I1121" s="88">
        <v>3</v>
      </c>
      <c r="J1121" s="44" t="s">
        <v>27</v>
      </c>
    </row>
    <row r="1122" spans="1:10" ht="26.4" x14ac:dyDescent="0.25">
      <c r="A1122" s="39" t="s">
        <v>995</v>
      </c>
      <c r="B1122" s="16" t="s">
        <v>996</v>
      </c>
      <c r="C1122" s="16" t="s">
        <v>21</v>
      </c>
      <c r="D1122" s="17" t="s">
        <v>997</v>
      </c>
      <c r="E1122" s="16" t="s">
        <v>588</v>
      </c>
      <c r="F1122" s="27">
        <v>54</v>
      </c>
      <c r="G1122" s="67">
        <v>21.38</v>
      </c>
      <c r="H1122" s="67">
        <v>25.78</v>
      </c>
      <c r="I1122" s="18">
        <v>1392.12</v>
      </c>
      <c r="J1122" s="40">
        <v>7.953555295778571E-5</v>
      </c>
    </row>
    <row r="1123" spans="1:10" x14ac:dyDescent="0.25">
      <c r="A1123" s="43" t="s">
        <v>24</v>
      </c>
      <c r="B1123" s="83"/>
      <c r="C1123" s="83"/>
      <c r="D1123" s="84" t="s">
        <v>3</v>
      </c>
      <c r="E1123" s="85" t="s">
        <v>25</v>
      </c>
      <c r="F1123" s="85"/>
      <c r="G1123" s="85"/>
      <c r="H1123" s="86"/>
      <c r="I1123" s="87" t="s">
        <v>1911</v>
      </c>
      <c r="J1123" s="44"/>
    </row>
    <row r="1124" spans="1:10" ht="26.4" x14ac:dyDescent="0.25">
      <c r="A1124" s="51"/>
      <c r="B1124" s="83"/>
      <c r="C1124" s="83"/>
      <c r="D1124" s="84" t="s">
        <v>837</v>
      </c>
      <c r="E1124" s="85">
        <f>54</f>
        <v>54</v>
      </c>
      <c r="F1124" s="85"/>
      <c r="G1124" s="85"/>
      <c r="H1124" s="85"/>
      <c r="I1124" s="88">
        <v>54</v>
      </c>
      <c r="J1124" s="44" t="s">
        <v>27</v>
      </c>
    </row>
    <row r="1125" spans="1:10" ht="26.4" x14ac:dyDescent="0.25">
      <c r="A1125" s="39" t="s">
        <v>998</v>
      </c>
      <c r="B1125" s="16" t="s">
        <v>881</v>
      </c>
      <c r="C1125" s="16" t="s">
        <v>21</v>
      </c>
      <c r="D1125" s="17" t="s">
        <v>882</v>
      </c>
      <c r="E1125" s="16" t="s">
        <v>588</v>
      </c>
      <c r="F1125" s="27">
        <v>46</v>
      </c>
      <c r="G1125" s="67">
        <v>44.6</v>
      </c>
      <c r="H1125" s="67">
        <v>53.78</v>
      </c>
      <c r="I1125" s="18">
        <v>2473.88</v>
      </c>
      <c r="J1125" s="40">
        <v>1.4133940590696701E-4</v>
      </c>
    </row>
    <row r="1126" spans="1:10" x14ac:dyDescent="0.25">
      <c r="A1126" s="43" t="s">
        <v>24</v>
      </c>
      <c r="B1126" s="83"/>
      <c r="C1126" s="83"/>
      <c r="D1126" s="84" t="s">
        <v>3</v>
      </c>
      <c r="E1126" s="85" t="s">
        <v>25</v>
      </c>
      <c r="F1126" s="85"/>
      <c r="G1126" s="85"/>
      <c r="H1126" s="86"/>
      <c r="I1126" s="87" t="s">
        <v>1911</v>
      </c>
      <c r="J1126" s="44"/>
    </row>
    <row r="1127" spans="1:10" ht="26.4" x14ac:dyDescent="0.25">
      <c r="A1127" s="51"/>
      <c r="B1127" s="83"/>
      <c r="C1127" s="83"/>
      <c r="D1127" s="84" t="s">
        <v>837</v>
      </c>
      <c r="E1127" s="85">
        <f>46</f>
        <v>46</v>
      </c>
      <c r="F1127" s="85"/>
      <c r="G1127" s="85"/>
      <c r="H1127" s="85"/>
      <c r="I1127" s="88">
        <v>46</v>
      </c>
      <c r="J1127" s="44" t="s">
        <v>27</v>
      </c>
    </row>
    <row r="1128" spans="1:10" ht="26.4" x14ac:dyDescent="0.25">
      <c r="A1128" s="39" t="s">
        <v>999</v>
      </c>
      <c r="B1128" s="16" t="s">
        <v>1000</v>
      </c>
      <c r="C1128" s="16" t="s">
        <v>21</v>
      </c>
      <c r="D1128" s="17" t="s">
        <v>1001</v>
      </c>
      <c r="E1128" s="16" t="s">
        <v>588</v>
      </c>
      <c r="F1128" s="27">
        <v>3</v>
      </c>
      <c r="G1128" s="67">
        <v>66.239999999999995</v>
      </c>
      <c r="H1128" s="67">
        <v>79.88</v>
      </c>
      <c r="I1128" s="18">
        <v>239.64</v>
      </c>
      <c r="J1128" s="40">
        <v>1.3691276550012763E-5</v>
      </c>
    </row>
    <row r="1129" spans="1:10" x14ac:dyDescent="0.25">
      <c r="A1129" s="43" t="s">
        <v>24</v>
      </c>
      <c r="B1129" s="83"/>
      <c r="C1129" s="83"/>
      <c r="D1129" s="84" t="s">
        <v>3</v>
      </c>
      <c r="E1129" s="85" t="s">
        <v>25</v>
      </c>
      <c r="F1129" s="85"/>
      <c r="G1129" s="85"/>
      <c r="H1129" s="86"/>
      <c r="I1129" s="87" t="s">
        <v>1911</v>
      </c>
      <c r="J1129" s="44"/>
    </row>
    <row r="1130" spans="1:10" ht="26.4" x14ac:dyDescent="0.25">
      <c r="A1130" s="51"/>
      <c r="B1130" s="83"/>
      <c r="C1130" s="83"/>
      <c r="D1130" s="84" t="s">
        <v>837</v>
      </c>
      <c r="E1130" s="85">
        <f>3</f>
        <v>3</v>
      </c>
      <c r="F1130" s="85"/>
      <c r="G1130" s="85"/>
      <c r="H1130" s="85"/>
      <c r="I1130" s="88">
        <v>3</v>
      </c>
      <c r="J1130" s="44" t="s">
        <v>27</v>
      </c>
    </row>
    <row r="1131" spans="1:10" ht="26.4" x14ac:dyDescent="0.25">
      <c r="A1131" s="39" t="s">
        <v>1002</v>
      </c>
      <c r="B1131" s="16" t="s">
        <v>1003</v>
      </c>
      <c r="C1131" s="16" t="s">
        <v>21</v>
      </c>
      <c r="D1131" s="17" t="s">
        <v>1004</v>
      </c>
      <c r="E1131" s="16" t="s">
        <v>588</v>
      </c>
      <c r="F1131" s="27">
        <v>2</v>
      </c>
      <c r="G1131" s="67">
        <v>15.75</v>
      </c>
      <c r="H1131" s="67">
        <v>18.989999999999998</v>
      </c>
      <c r="I1131" s="18">
        <v>37.979999999999997</v>
      </c>
      <c r="J1131" s="40">
        <v>2.169899363084146E-6</v>
      </c>
    </row>
    <row r="1132" spans="1:10" x14ac:dyDescent="0.25">
      <c r="A1132" s="43" t="s">
        <v>24</v>
      </c>
      <c r="B1132" s="83"/>
      <c r="C1132" s="83"/>
      <c r="D1132" s="84" t="s">
        <v>3</v>
      </c>
      <c r="E1132" s="85" t="s">
        <v>25</v>
      </c>
      <c r="F1132" s="85"/>
      <c r="G1132" s="85"/>
      <c r="H1132" s="86"/>
      <c r="I1132" s="87" t="s">
        <v>1911</v>
      </c>
      <c r="J1132" s="44"/>
    </row>
    <row r="1133" spans="1:10" ht="26.4" x14ac:dyDescent="0.25">
      <c r="A1133" s="51"/>
      <c r="B1133" s="83"/>
      <c r="C1133" s="83"/>
      <c r="D1133" s="84" t="s">
        <v>837</v>
      </c>
      <c r="E1133" s="85">
        <f>2</f>
        <v>2</v>
      </c>
      <c r="F1133" s="85"/>
      <c r="G1133" s="85"/>
      <c r="H1133" s="85"/>
      <c r="I1133" s="88">
        <v>2</v>
      </c>
      <c r="J1133" s="44" t="s">
        <v>27</v>
      </c>
    </row>
    <row r="1134" spans="1:10" ht="26.4" x14ac:dyDescent="0.25">
      <c r="A1134" s="39" t="s">
        <v>1005</v>
      </c>
      <c r="B1134" s="16" t="s">
        <v>1006</v>
      </c>
      <c r="C1134" s="16" t="s">
        <v>21</v>
      </c>
      <c r="D1134" s="17" t="s">
        <v>1007</v>
      </c>
      <c r="E1134" s="16" t="s">
        <v>588</v>
      </c>
      <c r="F1134" s="27">
        <v>4</v>
      </c>
      <c r="G1134" s="67">
        <v>37.61</v>
      </c>
      <c r="H1134" s="67">
        <v>45.35</v>
      </c>
      <c r="I1134" s="18">
        <v>181.4</v>
      </c>
      <c r="J1134" s="40">
        <v>1.0363868995878464E-5</v>
      </c>
    </row>
    <row r="1135" spans="1:10" x14ac:dyDescent="0.25">
      <c r="A1135" s="43" t="s">
        <v>24</v>
      </c>
      <c r="B1135" s="83"/>
      <c r="C1135" s="83"/>
      <c r="D1135" s="84" t="s">
        <v>3</v>
      </c>
      <c r="E1135" s="85" t="s">
        <v>25</v>
      </c>
      <c r="F1135" s="85"/>
      <c r="G1135" s="85"/>
      <c r="H1135" s="86"/>
      <c r="I1135" s="87" t="s">
        <v>1911</v>
      </c>
      <c r="J1135" s="44"/>
    </row>
    <row r="1136" spans="1:10" ht="26.4" x14ac:dyDescent="0.25">
      <c r="A1136" s="51"/>
      <c r="B1136" s="83"/>
      <c r="C1136" s="83"/>
      <c r="D1136" s="84" t="s">
        <v>837</v>
      </c>
      <c r="E1136" s="85">
        <f>4</f>
        <v>4</v>
      </c>
      <c r="F1136" s="85"/>
      <c r="G1136" s="85"/>
      <c r="H1136" s="85"/>
      <c r="I1136" s="88">
        <v>4</v>
      </c>
      <c r="J1136" s="44" t="s">
        <v>27</v>
      </c>
    </row>
    <row r="1137" spans="1:10" ht="26.4" x14ac:dyDescent="0.25">
      <c r="A1137" s="39" t="s">
        <v>1008</v>
      </c>
      <c r="B1137" s="16" t="s">
        <v>1009</v>
      </c>
      <c r="C1137" s="16" t="s">
        <v>21</v>
      </c>
      <c r="D1137" s="17" t="s">
        <v>1010</v>
      </c>
      <c r="E1137" s="16" t="s">
        <v>588</v>
      </c>
      <c r="F1137" s="27">
        <v>4</v>
      </c>
      <c r="G1137" s="67">
        <v>79.28</v>
      </c>
      <c r="H1137" s="67">
        <v>95.61</v>
      </c>
      <c r="I1137" s="18">
        <v>382.44</v>
      </c>
      <c r="J1137" s="40">
        <v>2.1849823918322823E-5</v>
      </c>
    </row>
    <row r="1138" spans="1:10" x14ac:dyDescent="0.25">
      <c r="A1138" s="43" t="s">
        <v>24</v>
      </c>
      <c r="B1138" s="83"/>
      <c r="C1138" s="83"/>
      <c r="D1138" s="84" t="s">
        <v>3</v>
      </c>
      <c r="E1138" s="85" t="s">
        <v>25</v>
      </c>
      <c r="F1138" s="85"/>
      <c r="G1138" s="85"/>
      <c r="H1138" s="86"/>
      <c r="I1138" s="87" t="s">
        <v>1911</v>
      </c>
      <c r="J1138" s="44"/>
    </row>
    <row r="1139" spans="1:10" ht="26.4" x14ac:dyDescent="0.25">
      <c r="A1139" s="51"/>
      <c r="B1139" s="83"/>
      <c r="C1139" s="83"/>
      <c r="D1139" s="84" t="s">
        <v>837</v>
      </c>
      <c r="E1139" s="85">
        <f>4</f>
        <v>4</v>
      </c>
      <c r="F1139" s="85"/>
      <c r="G1139" s="85"/>
      <c r="H1139" s="85"/>
      <c r="I1139" s="88">
        <v>4</v>
      </c>
      <c r="J1139" s="44" t="s">
        <v>27</v>
      </c>
    </row>
    <row r="1140" spans="1:10" ht="26.4" x14ac:dyDescent="0.25">
      <c r="A1140" s="39" t="s">
        <v>1011</v>
      </c>
      <c r="B1140" s="16" t="s">
        <v>1012</v>
      </c>
      <c r="C1140" s="16" t="s">
        <v>21</v>
      </c>
      <c r="D1140" s="17" t="s">
        <v>1013</v>
      </c>
      <c r="E1140" s="16" t="s">
        <v>588</v>
      </c>
      <c r="F1140" s="27">
        <v>1</v>
      </c>
      <c r="G1140" s="67">
        <v>12.33</v>
      </c>
      <c r="H1140" s="67">
        <v>14.86</v>
      </c>
      <c r="I1140" s="18">
        <v>14.86</v>
      </c>
      <c r="J1140" s="40">
        <v>8.4899169392918401E-7</v>
      </c>
    </row>
    <row r="1141" spans="1:10" x14ac:dyDescent="0.25">
      <c r="A1141" s="43" t="s">
        <v>24</v>
      </c>
      <c r="B1141" s="83"/>
      <c r="C1141" s="83"/>
      <c r="D1141" s="84" t="s">
        <v>3</v>
      </c>
      <c r="E1141" s="85" t="s">
        <v>25</v>
      </c>
      <c r="F1141" s="85"/>
      <c r="G1141" s="85"/>
      <c r="H1141" s="86"/>
      <c r="I1141" s="87" t="s">
        <v>1911</v>
      </c>
      <c r="J1141" s="44"/>
    </row>
    <row r="1142" spans="1:10" ht="26.4" x14ac:dyDescent="0.25">
      <c r="A1142" s="51"/>
      <c r="B1142" s="83"/>
      <c r="C1142" s="83"/>
      <c r="D1142" s="84" t="s">
        <v>837</v>
      </c>
      <c r="E1142" s="85">
        <f>1</f>
        <v>1</v>
      </c>
      <c r="F1142" s="85"/>
      <c r="G1142" s="85"/>
      <c r="H1142" s="85"/>
      <c r="I1142" s="88">
        <v>1</v>
      </c>
      <c r="J1142" s="44" t="s">
        <v>27</v>
      </c>
    </row>
    <row r="1143" spans="1:10" ht="26.4" x14ac:dyDescent="0.25">
      <c r="A1143" s="39" t="s">
        <v>1014</v>
      </c>
      <c r="B1143" s="16" t="s">
        <v>1015</v>
      </c>
      <c r="C1143" s="16" t="s">
        <v>21</v>
      </c>
      <c r="D1143" s="17" t="s">
        <v>1016</v>
      </c>
      <c r="E1143" s="16" t="s">
        <v>588</v>
      </c>
      <c r="F1143" s="27">
        <v>4</v>
      </c>
      <c r="G1143" s="67">
        <v>13.22</v>
      </c>
      <c r="H1143" s="67">
        <v>15.94</v>
      </c>
      <c r="I1143" s="18">
        <v>63.76</v>
      </c>
      <c r="J1143" s="40">
        <v>3.6427799734135111E-6</v>
      </c>
    </row>
    <row r="1144" spans="1:10" x14ac:dyDescent="0.25">
      <c r="A1144" s="43" t="s">
        <v>24</v>
      </c>
      <c r="B1144" s="83"/>
      <c r="C1144" s="83"/>
      <c r="D1144" s="84" t="s">
        <v>3</v>
      </c>
      <c r="E1144" s="85" t="s">
        <v>25</v>
      </c>
      <c r="F1144" s="85"/>
      <c r="G1144" s="85"/>
      <c r="H1144" s="86"/>
      <c r="I1144" s="87" t="s">
        <v>1911</v>
      </c>
      <c r="J1144" s="44"/>
    </row>
    <row r="1145" spans="1:10" x14ac:dyDescent="0.25">
      <c r="A1145" s="51"/>
      <c r="B1145" s="83"/>
      <c r="C1145" s="83"/>
      <c r="D1145" s="84" t="s">
        <v>27</v>
      </c>
      <c r="E1145" s="85">
        <f>4</f>
        <v>4</v>
      </c>
      <c r="F1145" s="85"/>
      <c r="G1145" s="85"/>
      <c r="H1145" s="85"/>
      <c r="I1145" s="88">
        <v>4</v>
      </c>
      <c r="J1145" s="44" t="s">
        <v>27</v>
      </c>
    </row>
    <row r="1146" spans="1:10" ht="26.4" x14ac:dyDescent="0.25">
      <c r="A1146" s="39" t="s">
        <v>1017</v>
      </c>
      <c r="B1146" s="16" t="s">
        <v>1018</v>
      </c>
      <c r="C1146" s="16" t="s">
        <v>21</v>
      </c>
      <c r="D1146" s="17" t="s">
        <v>1019</v>
      </c>
      <c r="E1146" s="16" t="s">
        <v>588</v>
      </c>
      <c r="F1146" s="27">
        <v>8</v>
      </c>
      <c r="G1146" s="67">
        <v>39.380000000000003</v>
      </c>
      <c r="H1146" s="67">
        <v>47.49</v>
      </c>
      <c r="I1146" s="18">
        <v>379.92</v>
      </c>
      <c r="J1146" s="40">
        <v>2.1705849552999702E-5</v>
      </c>
    </row>
    <row r="1147" spans="1:10" x14ac:dyDescent="0.25">
      <c r="A1147" s="43" t="s">
        <v>24</v>
      </c>
      <c r="B1147" s="83"/>
      <c r="C1147" s="83"/>
      <c r="D1147" s="84" t="s">
        <v>3</v>
      </c>
      <c r="E1147" s="85" t="s">
        <v>25</v>
      </c>
      <c r="F1147" s="85"/>
      <c r="G1147" s="85"/>
      <c r="H1147" s="86"/>
      <c r="I1147" s="87" t="s">
        <v>1911</v>
      </c>
      <c r="J1147" s="44"/>
    </row>
    <row r="1148" spans="1:10" ht="26.4" x14ac:dyDescent="0.25">
      <c r="A1148" s="51"/>
      <c r="B1148" s="83"/>
      <c r="C1148" s="83"/>
      <c r="D1148" s="84" t="s">
        <v>837</v>
      </c>
      <c r="E1148" s="85">
        <f>8</f>
        <v>8</v>
      </c>
      <c r="F1148" s="85"/>
      <c r="G1148" s="85"/>
      <c r="H1148" s="85"/>
      <c r="I1148" s="88">
        <v>8</v>
      </c>
      <c r="J1148" s="44" t="s">
        <v>27</v>
      </c>
    </row>
    <row r="1149" spans="1:10" ht="26.4" x14ac:dyDescent="0.25">
      <c r="A1149" s="39" t="s">
        <v>1020</v>
      </c>
      <c r="B1149" s="16" t="s">
        <v>1021</v>
      </c>
      <c r="C1149" s="16" t="s">
        <v>21</v>
      </c>
      <c r="D1149" s="17" t="s">
        <v>1022</v>
      </c>
      <c r="E1149" s="16" t="s">
        <v>588</v>
      </c>
      <c r="F1149" s="27">
        <v>11</v>
      </c>
      <c r="G1149" s="67">
        <v>28.38</v>
      </c>
      <c r="H1149" s="67">
        <v>34.22</v>
      </c>
      <c r="I1149" s="18">
        <v>376.42</v>
      </c>
      <c r="J1149" s="40">
        <v>2.1505885156717595E-5</v>
      </c>
    </row>
    <row r="1150" spans="1:10" x14ac:dyDescent="0.25">
      <c r="A1150" s="43" t="s">
        <v>24</v>
      </c>
      <c r="B1150" s="83"/>
      <c r="C1150" s="83"/>
      <c r="D1150" s="84" t="s">
        <v>3</v>
      </c>
      <c r="E1150" s="85" t="s">
        <v>25</v>
      </c>
      <c r="F1150" s="85"/>
      <c r="G1150" s="85"/>
      <c r="H1150" s="86"/>
      <c r="I1150" s="87" t="s">
        <v>1911</v>
      </c>
      <c r="J1150" s="44"/>
    </row>
    <row r="1151" spans="1:10" ht="26.4" x14ac:dyDescent="0.25">
      <c r="A1151" s="51"/>
      <c r="B1151" s="83"/>
      <c r="C1151" s="83"/>
      <c r="D1151" s="84" t="s">
        <v>837</v>
      </c>
      <c r="E1151" s="85">
        <f>11</f>
        <v>11</v>
      </c>
      <c r="F1151" s="85"/>
      <c r="G1151" s="85"/>
      <c r="H1151" s="85"/>
      <c r="I1151" s="88">
        <v>11</v>
      </c>
      <c r="J1151" s="44" t="s">
        <v>27</v>
      </c>
    </row>
    <row r="1152" spans="1:10" x14ac:dyDescent="0.25">
      <c r="A1152" s="39" t="s">
        <v>1023</v>
      </c>
      <c r="B1152" s="16" t="s">
        <v>1024</v>
      </c>
      <c r="C1152" s="16" t="s">
        <v>582</v>
      </c>
      <c r="D1152" s="17" t="s">
        <v>1025</v>
      </c>
      <c r="E1152" s="16" t="s">
        <v>588</v>
      </c>
      <c r="F1152" s="27">
        <v>3</v>
      </c>
      <c r="G1152" s="67">
        <v>52.24</v>
      </c>
      <c r="H1152" s="67">
        <v>63</v>
      </c>
      <c r="I1152" s="18">
        <v>189</v>
      </c>
      <c r="J1152" s="40">
        <v>1.0798077399233902E-5</v>
      </c>
    </row>
    <row r="1153" spans="1:10" x14ac:dyDescent="0.25">
      <c r="A1153" s="43" t="s">
        <v>24</v>
      </c>
      <c r="B1153" s="83"/>
      <c r="C1153" s="83"/>
      <c r="D1153" s="84" t="s">
        <v>3</v>
      </c>
      <c r="E1153" s="85" t="s">
        <v>25</v>
      </c>
      <c r="F1153" s="85"/>
      <c r="G1153" s="85"/>
      <c r="H1153" s="86"/>
      <c r="I1153" s="87" t="s">
        <v>1911</v>
      </c>
      <c r="J1153" s="44"/>
    </row>
    <row r="1154" spans="1:10" ht="26.4" x14ac:dyDescent="0.25">
      <c r="A1154" s="51"/>
      <c r="B1154" s="83"/>
      <c r="C1154" s="83"/>
      <c r="D1154" s="84" t="s">
        <v>837</v>
      </c>
      <c r="E1154" s="85">
        <f>3</f>
        <v>3</v>
      </c>
      <c r="F1154" s="85"/>
      <c r="G1154" s="85"/>
      <c r="H1154" s="85"/>
      <c r="I1154" s="88">
        <v>3</v>
      </c>
      <c r="J1154" s="44" t="s">
        <v>27</v>
      </c>
    </row>
    <row r="1155" spans="1:10" ht="26.4" x14ac:dyDescent="0.25">
      <c r="A1155" s="39" t="s">
        <v>1026</v>
      </c>
      <c r="B1155" s="16" t="s">
        <v>929</v>
      </c>
      <c r="C1155" s="16" t="s">
        <v>21</v>
      </c>
      <c r="D1155" s="17" t="s">
        <v>930</v>
      </c>
      <c r="E1155" s="16" t="s">
        <v>588</v>
      </c>
      <c r="F1155" s="27">
        <v>30</v>
      </c>
      <c r="G1155" s="67">
        <v>21.07</v>
      </c>
      <c r="H1155" s="67">
        <v>25.41</v>
      </c>
      <c r="I1155" s="18">
        <v>762.3</v>
      </c>
      <c r="J1155" s="40">
        <v>4.35522455102434E-5</v>
      </c>
    </row>
    <row r="1156" spans="1:10" x14ac:dyDescent="0.25">
      <c r="A1156" s="43" t="s">
        <v>24</v>
      </c>
      <c r="B1156" s="83"/>
      <c r="C1156" s="83"/>
      <c r="D1156" s="84" t="s">
        <v>3</v>
      </c>
      <c r="E1156" s="85" t="s">
        <v>25</v>
      </c>
      <c r="F1156" s="85"/>
      <c r="G1156" s="85"/>
      <c r="H1156" s="86"/>
      <c r="I1156" s="87" t="s">
        <v>1911</v>
      </c>
      <c r="J1156" s="44"/>
    </row>
    <row r="1157" spans="1:10" ht="26.4" x14ac:dyDescent="0.25">
      <c r="A1157" s="51"/>
      <c r="B1157" s="83"/>
      <c r="C1157" s="83"/>
      <c r="D1157" s="84" t="s">
        <v>837</v>
      </c>
      <c r="E1157" s="85">
        <f>30</f>
        <v>30</v>
      </c>
      <c r="F1157" s="85"/>
      <c r="G1157" s="85"/>
      <c r="H1157" s="85"/>
      <c r="I1157" s="88">
        <v>30</v>
      </c>
      <c r="J1157" s="44" t="s">
        <v>27</v>
      </c>
    </row>
    <row r="1158" spans="1:10" ht="26.4" x14ac:dyDescent="0.25">
      <c r="A1158" s="39" t="s">
        <v>1027</v>
      </c>
      <c r="B1158" s="16" t="s">
        <v>1028</v>
      </c>
      <c r="C1158" s="16" t="s">
        <v>21</v>
      </c>
      <c r="D1158" s="17" t="s">
        <v>1029</v>
      </c>
      <c r="E1158" s="16" t="s">
        <v>588</v>
      </c>
      <c r="F1158" s="27">
        <v>34</v>
      </c>
      <c r="G1158" s="67">
        <v>45.29</v>
      </c>
      <c r="H1158" s="67">
        <v>54.61</v>
      </c>
      <c r="I1158" s="18">
        <v>1856.74</v>
      </c>
      <c r="J1158" s="40">
        <v>1.0608054090081245E-4</v>
      </c>
    </row>
    <row r="1159" spans="1:10" x14ac:dyDescent="0.25">
      <c r="A1159" s="43" t="s">
        <v>24</v>
      </c>
      <c r="B1159" s="83"/>
      <c r="C1159" s="83"/>
      <c r="D1159" s="84" t="s">
        <v>3</v>
      </c>
      <c r="E1159" s="85" t="s">
        <v>25</v>
      </c>
      <c r="F1159" s="85"/>
      <c r="G1159" s="85"/>
      <c r="H1159" s="86"/>
      <c r="I1159" s="87" t="s">
        <v>1911</v>
      </c>
      <c r="J1159" s="44"/>
    </row>
    <row r="1160" spans="1:10" ht="26.4" x14ac:dyDescent="0.25">
      <c r="A1160" s="51"/>
      <c r="B1160" s="83"/>
      <c r="C1160" s="83"/>
      <c r="D1160" s="84" t="s">
        <v>837</v>
      </c>
      <c r="E1160" s="85">
        <f>34</f>
        <v>34</v>
      </c>
      <c r="F1160" s="85"/>
      <c r="G1160" s="85"/>
      <c r="H1160" s="85"/>
      <c r="I1160" s="88">
        <v>34</v>
      </c>
      <c r="J1160" s="44" t="s">
        <v>27</v>
      </c>
    </row>
    <row r="1161" spans="1:10" ht="26.4" x14ac:dyDescent="0.25">
      <c r="A1161" s="39" t="s">
        <v>1030</v>
      </c>
      <c r="B1161" s="16" t="s">
        <v>1031</v>
      </c>
      <c r="C1161" s="16" t="s">
        <v>21</v>
      </c>
      <c r="D1161" s="17" t="s">
        <v>1032</v>
      </c>
      <c r="E1161" s="16" t="s">
        <v>588</v>
      </c>
      <c r="F1161" s="27">
        <v>2</v>
      </c>
      <c r="G1161" s="67">
        <v>76.58</v>
      </c>
      <c r="H1161" s="67">
        <v>92.35</v>
      </c>
      <c r="I1161" s="18">
        <v>184.7</v>
      </c>
      <c r="J1161" s="40">
        <v>1.0552406855230167E-5</v>
      </c>
    </row>
    <row r="1162" spans="1:10" x14ac:dyDescent="0.25">
      <c r="A1162" s="43" t="s">
        <v>24</v>
      </c>
      <c r="B1162" s="83"/>
      <c r="C1162" s="83"/>
      <c r="D1162" s="84" t="s">
        <v>3</v>
      </c>
      <c r="E1162" s="85" t="s">
        <v>25</v>
      </c>
      <c r="F1162" s="85"/>
      <c r="G1162" s="85"/>
      <c r="H1162" s="86"/>
      <c r="I1162" s="87" t="s">
        <v>1911</v>
      </c>
      <c r="J1162" s="44"/>
    </row>
    <row r="1163" spans="1:10" ht="26.4" x14ac:dyDescent="0.25">
      <c r="A1163" s="51"/>
      <c r="B1163" s="83"/>
      <c r="C1163" s="83"/>
      <c r="D1163" s="84" t="s">
        <v>837</v>
      </c>
      <c r="E1163" s="85">
        <f>2</f>
        <v>2</v>
      </c>
      <c r="F1163" s="85"/>
      <c r="G1163" s="85"/>
      <c r="H1163" s="85"/>
      <c r="I1163" s="88">
        <v>2</v>
      </c>
      <c r="J1163" s="44" t="s">
        <v>27</v>
      </c>
    </row>
    <row r="1164" spans="1:10" ht="26.4" x14ac:dyDescent="0.25">
      <c r="A1164" s="39" t="s">
        <v>1033</v>
      </c>
      <c r="B1164" s="16" t="s">
        <v>935</v>
      </c>
      <c r="C1164" s="16" t="s">
        <v>21</v>
      </c>
      <c r="D1164" s="17" t="s">
        <v>936</v>
      </c>
      <c r="E1164" s="16" t="s">
        <v>588</v>
      </c>
      <c r="F1164" s="27">
        <v>18</v>
      </c>
      <c r="G1164" s="67">
        <v>34.26</v>
      </c>
      <c r="H1164" s="67">
        <v>41.31</v>
      </c>
      <c r="I1164" s="18">
        <v>743.58</v>
      </c>
      <c r="J1164" s="40">
        <v>4.2482721653557378E-5</v>
      </c>
    </row>
    <row r="1165" spans="1:10" x14ac:dyDescent="0.25">
      <c r="A1165" s="43" t="s">
        <v>24</v>
      </c>
      <c r="B1165" s="83"/>
      <c r="C1165" s="83"/>
      <c r="D1165" s="84" t="s">
        <v>3</v>
      </c>
      <c r="E1165" s="85" t="s">
        <v>25</v>
      </c>
      <c r="F1165" s="85"/>
      <c r="G1165" s="85"/>
      <c r="H1165" s="86"/>
      <c r="I1165" s="87" t="s">
        <v>1911</v>
      </c>
      <c r="J1165" s="44"/>
    </row>
    <row r="1166" spans="1:10" ht="26.4" x14ac:dyDescent="0.25">
      <c r="A1166" s="51"/>
      <c r="B1166" s="83"/>
      <c r="C1166" s="83"/>
      <c r="D1166" s="84" t="s">
        <v>837</v>
      </c>
      <c r="E1166" s="85">
        <f>18</f>
        <v>18</v>
      </c>
      <c r="F1166" s="85"/>
      <c r="G1166" s="85"/>
      <c r="H1166" s="85"/>
      <c r="I1166" s="88">
        <v>18</v>
      </c>
      <c r="J1166" s="44" t="s">
        <v>27</v>
      </c>
    </row>
    <row r="1167" spans="1:10" ht="26.4" x14ac:dyDescent="0.25">
      <c r="A1167" s="39" t="s">
        <v>1034</v>
      </c>
      <c r="B1167" s="16" t="s">
        <v>938</v>
      </c>
      <c r="C1167" s="16" t="s">
        <v>21</v>
      </c>
      <c r="D1167" s="17" t="s">
        <v>939</v>
      </c>
      <c r="E1167" s="16" t="s">
        <v>588</v>
      </c>
      <c r="F1167" s="27">
        <v>1</v>
      </c>
      <c r="G1167" s="67">
        <v>80.64</v>
      </c>
      <c r="H1167" s="67">
        <v>97.25</v>
      </c>
      <c r="I1167" s="18">
        <v>97.25</v>
      </c>
      <c r="J1167" s="40">
        <v>5.5561535824100366E-6</v>
      </c>
    </row>
    <row r="1168" spans="1:10" x14ac:dyDescent="0.25">
      <c r="A1168" s="43" t="s">
        <v>24</v>
      </c>
      <c r="B1168" s="83"/>
      <c r="C1168" s="83"/>
      <c r="D1168" s="84" t="s">
        <v>3</v>
      </c>
      <c r="E1168" s="85" t="s">
        <v>25</v>
      </c>
      <c r="F1168" s="85"/>
      <c r="G1168" s="85"/>
      <c r="H1168" s="86"/>
      <c r="I1168" s="87" t="s">
        <v>1911</v>
      </c>
      <c r="J1168" s="44"/>
    </row>
    <row r="1169" spans="1:10" ht="26.4" x14ac:dyDescent="0.25">
      <c r="A1169" s="51"/>
      <c r="B1169" s="83"/>
      <c r="C1169" s="83"/>
      <c r="D1169" s="84" t="s">
        <v>837</v>
      </c>
      <c r="E1169" s="85">
        <f>1</f>
        <v>1</v>
      </c>
      <c r="F1169" s="85"/>
      <c r="G1169" s="85"/>
      <c r="H1169" s="85"/>
      <c r="I1169" s="88">
        <v>1</v>
      </c>
      <c r="J1169" s="44" t="s">
        <v>27</v>
      </c>
    </row>
    <row r="1170" spans="1:10" x14ac:dyDescent="0.25">
      <c r="A1170" s="41" t="s">
        <v>1035</v>
      </c>
      <c r="B1170" s="13"/>
      <c r="C1170" s="13"/>
      <c r="D1170" s="14" t="s">
        <v>941</v>
      </c>
      <c r="E1170" s="14"/>
      <c r="F1170" s="26">
        <v>1</v>
      </c>
      <c r="G1170" s="66"/>
      <c r="H1170" s="66"/>
      <c r="I1170" s="15">
        <v>3132.88</v>
      </c>
      <c r="J1170" s="42">
        <v>1.7898984509265558E-4</v>
      </c>
    </row>
    <row r="1171" spans="1:10" ht="26.4" x14ac:dyDescent="0.25">
      <c r="A1171" s="39" t="s">
        <v>1036</v>
      </c>
      <c r="B1171" s="16" t="s">
        <v>949</v>
      </c>
      <c r="C1171" s="16" t="s">
        <v>21</v>
      </c>
      <c r="D1171" s="17" t="s">
        <v>950</v>
      </c>
      <c r="E1171" s="16" t="s">
        <v>588</v>
      </c>
      <c r="F1171" s="27">
        <v>1</v>
      </c>
      <c r="G1171" s="67">
        <v>69.56</v>
      </c>
      <c r="H1171" s="67">
        <v>83.88</v>
      </c>
      <c r="I1171" s="18">
        <v>83.88</v>
      </c>
      <c r="J1171" s="40">
        <v>4.7922895886123792E-6</v>
      </c>
    </row>
    <row r="1172" spans="1:10" x14ac:dyDescent="0.25">
      <c r="A1172" s="43" t="s">
        <v>24</v>
      </c>
      <c r="B1172" s="83"/>
      <c r="C1172" s="83"/>
      <c r="D1172" s="84" t="s">
        <v>3</v>
      </c>
      <c r="E1172" s="85" t="s">
        <v>25</v>
      </c>
      <c r="F1172" s="85"/>
      <c r="G1172" s="85"/>
      <c r="H1172" s="86"/>
      <c r="I1172" s="87" t="s">
        <v>1911</v>
      </c>
      <c r="J1172" s="44"/>
    </row>
    <row r="1173" spans="1:10" ht="26.4" x14ac:dyDescent="0.25">
      <c r="A1173" s="51"/>
      <c r="B1173" s="83"/>
      <c r="C1173" s="83"/>
      <c r="D1173" s="84" t="s">
        <v>837</v>
      </c>
      <c r="E1173" s="85">
        <f>1</f>
        <v>1</v>
      </c>
      <c r="F1173" s="85"/>
      <c r="G1173" s="85"/>
      <c r="H1173" s="85"/>
      <c r="I1173" s="88">
        <v>1</v>
      </c>
      <c r="J1173" s="44" t="s">
        <v>27</v>
      </c>
    </row>
    <row r="1174" spans="1:10" ht="26.4" x14ac:dyDescent="0.25">
      <c r="A1174" s="39" t="s">
        <v>1037</v>
      </c>
      <c r="B1174" s="16" t="s">
        <v>1038</v>
      </c>
      <c r="C1174" s="16" t="s">
        <v>21</v>
      </c>
      <c r="D1174" s="17" t="s">
        <v>1039</v>
      </c>
      <c r="E1174" s="16" t="s">
        <v>588</v>
      </c>
      <c r="F1174" s="27">
        <v>10</v>
      </c>
      <c r="G1174" s="67">
        <v>155.11000000000001</v>
      </c>
      <c r="H1174" s="67">
        <v>187.06</v>
      </c>
      <c r="I1174" s="18">
        <v>1870.6</v>
      </c>
      <c r="J1174" s="40">
        <v>1.0687239991008961E-4</v>
      </c>
    </row>
    <row r="1175" spans="1:10" x14ac:dyDescent="0.25">
      <c r="A1175" s="43" t="s">
        <v>24</v>
      </c>
      <c r="B1175" s="83"/>
      <c r="C1175" s="83"/>
      <c r="D1175" s="84" t="s">
        <v>3</v>
      </c>
      <c r="E1175" s="85" t="s">
        <v>25</v>
      </c>
      <c r="F1175" s="85"/>
      <c r="G1175" s="85"/>
      <c r="H1175" s="86"/>
      <c r="I1175" s="87" t="s">
        <v>1911</v>
      </c>
      <c r="J1175" s="44"/>
    </row>
    <row r="1176" spans="1:10" ht="26.4" x14ac:dyDescent="0.25">
      <c r="A1176" s="51"/>
      <c r="B1176" s="83"/>
      <c r="C1176" s="83"/>
      <c r="D1176" s="84" t="s">
        <v>837</v>
      </c>
      <c r="E1176" s="85">
        <f>10</f>
        <v>10</v>
      </c>
      <c r="F1176" s="85"/>
      <c r="G1176" s="85"/>
      <c r="H1176" s="85"/>
      <c r="I1176" s="88">
        <v>10</v>
      </c>
      <c r="J1176" s="44" t="s">
        <v>27</v>
      </c>
    </row>
    <row r="1177" spans="1:10" ht="26.4" x14ac:dyDescent="0.25">
      <c r="A1177" s="39" t="s">
        <v>1040</v>
      </c>
      <c r="B1177" s="16" t="s">
        <v>1041</v>
      </c>
      <c r="C1177" s="16" t="s">
        <v>21</v>
      </c>
      <c r="D1177" s="17" t="s">
        <v>1042</v>
      </c>
      <c r="E1177" s="16" t="s">
        <v>588</v>
      </c>
      <c r="F1177" s="27">
        <v>3</v>
      </c>
      <c r="G1177" s="67">
        <v>236.12</v>
      </c>
      <c r="H1177" s="67">
        <v>284.76</v>
      </c>
      <c r="I1177" s="18">
        <v>854.28</v>
      </c>
      <c r="J1177" s="40">
        <v>4.8807309844537237E-5</v>
      </c>
    </row>
    <row r="1178" spans="1:10" x14ac:dyDescent="0.25">
      <c r="A1178" s="43" t="s">
        <v>24</v>
      </c>
      <c r="B1178" s="83"/>
      <c r="C1178" s="83"/>
      <c r="D1178" s="84" t="s">
        <v>3</v>
      </c>
      <c r="E1178" s="85" t="s">
        <v>25</v>
      </c>
      <c r="F1178" s="85"/>
      <c r="G1178" s="85"/>
      <c r="H1178" s="86"/>
      <c r="I1178" s="87" t="s">
        <v>1911</v>
      </c>
      <c r="J1178" s="44"/>
    </row>
    <row r="1179" spans="1:10" ht="26.4" x14ac:dyDescent="0.25">
      <c r="A1179" s="51"/>
      <c r="B1179" s="83"/>
      <c r="C1179" s="83"/>
      <c r="D1179" s="84" t="s">
        <v>837</v>
      </c>
      <c r="E1179" s="85">
        <f>3</f>
        <v>3</v>
      </c>
      <c r="F1179" s="85"/>
      <c r="G1179" s="85"/>
      <c r="H1179" s="85"/>
      <c r="I1179" s="88">
        <v>3</v>
      </c>
      <c r="J1179" s="44" t="s">
        <v>27</v>
      </c>
    </row>
    <row r="1180" spans="1:10" ht="26.4" x14ac:dyDescent="0.25">
      <c r="A1180" s="39" t="s">
        <v>1043</v>
      </c>
      <c r="B1180" s="16" t="s">
        <v>955</v>
      </c>
      <c r="C1180" s="16" t="s">
        <v>21</v>
      </c>
      <c r="D1180" s="17" t="s">
        <v>956</v>
      </c>
      <c r="E1180" s="16" t="s">
        <v>588</v>
      </c>
      <c r="F1180" s="27">
        <v>1</v>
      </c>
      <c r="G1180" s="67">
        <v>222.4</v>
      </c>
      <c r="H1180" s="67">
        <v>268.20999999999998</v>
      </c>
      <c r="I1180" s="18">
        <v>268.20999999999998</v>
      </c>
      <c r="J1180" s="40">
        <v>1.5323557350521294E-5</v>
      </c>
    </row>
    <row r="1181" spans="1:10" x14ac:dyDescent="0.25">
      <c r="A1181" s="43" t="s">
        <v>24</v>
      </c>
      <c r="B1181" s="83"/>
      <c r="C1181" s="83"/>
      <c r="D1181" s="84" t="s">
        <v>3</v>
      </c>
      <c r="E1181" s="85" t="s">
        <v>25</v>
      </c>
      <c r="F1181" s="85"/>
      <c r="G1181" s="85"/>
      <c r="H1181" s="86"/>
      <c r="I1181" s="87" t="s">
        <v>1911</v>
      </c>
      <c r="J1181" s="44"/>
    </row>
    <row r="1182" spans="1:10" ht="26.4" x14ac:dyDescent="0.25">
      <c r="A1182" s="51"/>
      <c r="B1182" s="83"/>
      <c r="C1182" s="83"/>
      <c r="D1182" s="84" t="s">
        <v>837</v>
      </c>
      <c r="E1182" s="85">
        <f>1</f>
        <v>1</v>
      </c>
      <c r="F1182" s="85"/>
      <c r="G1182" s="85"/>
      <c r="H1182" s="85"/>
      <c r="I1182" s="88">
        <v>1</v>
      </c>
      <c r="J1182" s="44" t="s">
        <v>27</v>
      </c>
    </row>
    <row r="1183" spans="1:10" x14ac:dyDescent="0.25">
      <c r="A1183" s="45" t="s">
        <v>1044</v>
      </c>
      <c r="B1183" s="21" t="s">
        <v>961</v>
      </c>
      <c r="C1183" s="21" t="s">
        <v>582</v>
      </c>
      <c r="D1183" s="22" t="s">
        <v>962</v>
      </c>
      <c r="E1183" s="21" t="s">
        <v>588</v>
      </c>
      <c r="F1183" s="28">
        <v>1</v>
      </c>
      <c r="G1183" s="68">
        <v>50.42</v>
      </c>
      <c r="H1183" s="68">
        <v>55.91</v>
      </c>
      <c r="I1183" s="23">
        <v>55.91</v>
      </c>
      <c r="J1183" s="46">
        <v>3.1942883988950658E-6</v>
      </c>
    </row>
    <row r="1184" spans="1:10" x14ac:dyDescent="0.25">
      <c r="A1184" s="43" t="s">
        <v>24</v>
      </c>
      <c r="B1184" s="83"/>
      <c r="C1184" s="83"/>
      <c r="D1184" s="84" t="s">
        <v>3</v>
      </c>
      <c r="E1184" s="85" t="s">
        <v>25</v>
      </c>
      <c r="F1184" s="85"/>
      <c r="G1184" s="85"/>
      <c r="H1184" s="86"/>
      <c r="I1184" s="87" t="s">
        <v>1911</v>
      </c>
      <c r="J1184" s="44"/>
    </row>
    <row r="1185" spans="1:10" ht="26.4" x14ac:dyDescent="0.25">
      <c r="A1185" s="51"/>
      <c r="B1185" s="83"/>
      <c r="C1185" s="83"/>
      <c r="D1185" s="84" t="s">
        <v>837</v>
      </c>
      <c r="E1185" s="85">
        <f>1</f>
        <v>1</v>
      </c>
      <c r="F1185" s="85"/>
      <c r="G1185" s="85"/>
      <c r="H1185" s="85"/>
      <c r="I1185" s="88">
        <v>1</v>
      </c>
      <c r="J1185" s="44" t="s">
        <v>27</v>
      </c>
    </row>
    <row r="1186" spans="1:10" x14ac:dyDescent="0.25">
      <c r="A1186" s="41" t="s">
        <v>1045</v>
      </c>
      <c r="B1186" s="13"/>
      <c r="C1186" s="13"/>
      <c r="D1186" s="14" t="s">
        <v>1046</v>
      </c>
      <c r="E1186" s="14"/>
      <c r="F1186" s="26">
        <v>1</v>
      </c>
      <c r="G1186" s="66"/>
      <c r="H1186" s="66"/>
      <c r="I1186" s="15">
        <v>43049.65</v>
      </c>
      <c r="J1186" s="42">
        <v>2.4595420778303159E-3</v>
      </c>
    </row>
    <row r="1187" spans="1:10" ht="26.4" x14ac:dyDescent="0.25">
      <c r="A1187" s="39" t="s">
        <v>1047</v>
      </c>
      <c r="B1187" s="16" t="s">
        <v>966</v>
      </c>
      <c r="C1187" s="16" t="s">
        <v>21</v>
      </c>
      <c r="D1187" s="17" t="s">
        <v>967</v>
      </c>
      <c r="E1187" s="16" t="s">
        <v>588</v>
      </c>
      <c r="F1187" s="27">
        <v>1</v>
      </c>
      <c r="G1187" s="67">
        <v>1439.75</v>
      </c>
      <c r="H1187" s="67">
        <v>1736.33</v>
      </c>
      <c r="I1187" s="18">
        <v>1736.33</v>
      </c>
      <c r="J1187" s="40">
        <v>9.9201194341861371E-5</v>
      </c>
    </row>
    <row r="1188" spans="1:10" x14ac:dyDescent="0.25">
      <c r="A1188" s="43" t="s">
        <v>24</v>
      </c>
      <c r="B1188" s="83"/>
      <c r="C1188" s="83"/>
      <c r="D1188" s="84" t="s">
        <v>3</v>
      </c>
      <c r="E1188" s="85" t="s">
        <v>25</v>
      </c>
      <c r="F1188" s="85"/>
      <c r="G1188" s="85"/>
      <c r="H1188" s="86"/>
      <c r="I1188" s="87" t="s">
        <v>1911</v>
      </c>
      <c r="J1188" s="44"/>
    </row>
    <row r="1189" spans="1:10" ht="26.4" x14ac:dyDescent="0.25">
      <c r="A1189" s="51"/>
      <c r="B1189" s="83"/>
      <c r="C1189" s="83"/>
      <c r="D1189" s="84" t="s">
        <v>837</v>
      </c>
      <c r="E1189" s="85">
        <f>1</f>
        <v>1</v>
      </c>
      <c r="F1189" s="85"/>
      <c r="G1189" s="85"/>
      <c r="H1189" s="85"/>
      <c r="I1189" s="88">
        <v>1</v>
      </c>
      <c r="J1189" s="44" t="s">
        <v>27</v>
      </c>
    </row>
    <row r="1190" spans="1:10" ht="26.4" x14ac:dyDescent="0.25">
      <c r="A1190" s="39" t="s">
        <v>1048</v>
      </c>
      <c r="B1190" s="16" t="s">
        <v>1049</v>
      </c>
      <c r="C1190" s="16" t="s">
        <v>14</v>
      </c>
      <c r="D1190" s="17" t="s">
        <v>1050</v>
      </c>
      <c r="E1190" s="16" t="s">
        <v>16</v>
      </c>
      <c r="F1190" s="27">
        <v>4</v>
      </c>
      <c r="G1190" s="67">
        <v>7031.8</v>
      </c>
      <c r="H1190" s="67">
        <v>8480.35</v>
      </c>
      <c r="I1190" s="18">
        <v>33921.4</v>
      </c>
      <c r="J1190" s="40">
        <v>1.9380206491554121E-3</v>
      </c>
    </row>
    <row r="1191" spans="1:10" x14ac:dyDescent="0.25">
      <c r="A1191" s="43" t="s">
        <v>24</v>
      </c>
      <c r="B1191" s="83"/>
      <c r="C1191" s="83"/>
      <c r="D1191" s="84" t="s">
        <v>3</v>
      </c>
      <c r="E1191" s="85" t="s">
        <v>25</v>
      </c>
      <c r="F1191" s="85"/>
      <c r="G1191" s="85"/>
      <c r="H1191" s="86"/>
      <c r="I1191" s="87" t="s">
        <v>1911</v>
      </c>
      <c r="J1191" s="44"/>
    </row>
    <row r="1192" spans="1:10" ht="26.4" x14ac:dyDescent="0.25">
      <c r="A1192" s="51"/>
      <c r="B1192" s="83"/>
      <c r="C1192" s="83"/>
      <c r="D1192" s="84" t="s">
        <v>837</v>
      </c>
      <c r="E1192" s="85">
        <f>4</f>
        <v>4</v>
      </c>
      <c r="F1192" s="85"/>
      <c r="G1192" s="85"/>
      <c r="H1192" s="85"/>
      <c r="I1192" s="88">
        <v>4</v>
      </c>
      <c r="J1192" s="44" t="s">
        <v>27</v>
      </c>
    </row>
    <row r="1193" spans="1:10" ht="39.6" x14ac:dyDescent="0.25">
      <c r="A1193" s="39" t="s">
        <v>1051</v>
      </c>
      <c r="B1193" s="16" t="s">
        <v>1052</v>
      </c>
      <c r="C1193" s="16" t="s">
        <v>14</v>
      </c>
      <c r="D1193" s="17" t="s">
        <v>1053</v>
      </c>
      <c r="E1193" s="16" t="s">
        <v>16</v>
      </c>
      <c r="F1193" s="27">
        <v>4</v>
      </c>
      <c r="G1193" s="67">
        <v>1532.33</v>
      </c>
      <c r="H1193" s="67">
        <v>1847.98</v>
      </c>
      <c r="I1193" s="18">
        <v>7391.92</v>
      </c>
      <c r="J1193" s="40">
        <v>4.2232023433304267E-4</v>
      </c>
    </row>
    <row r="1194" spans="1:10" x14ac:dyDescent="0.25">
      <c r="A1194" s="43" t="s">
        <v>24</v>
      </c>
      <c r="B1194" s="83"/>
      <c r="C1194" s="83"/>
      <c r="D1194" s="84" t="s">
        <v>3</v>
      </c>
      <c r="E1194" s="85" t="s">
        <v>25</v>
      </c>
      <c r="F1194" s="85"/>
      <c r="G1194" s="85"/>
      <c r="H1194" s="86"/>
      <c r="I1194" s="87" t="s">
        <v>1911</v>
      </c>
      <c r="J1194" s="44"/>
    </row>
    <row r="1195" spans="1:10" ht="26.4" x14ac:dyDescent="0.25">
      <c r="A1195" s="51"/>
      <c r="B1195" s="83"/>
      <c r="C1195" s="83"/>
      <c r="D1195" s="84" t="s">
        <v>837</v>
      </c>
      <c r="E1195" s="85">
        <f>4</f>
        <v>4</v>
      </c>
      <c r="F1195" s="85"/>
      <c r="G1195" s="85"/>
      <c r="H1195" s="85"/>
      <c r="I1195" s="88">
        <v>4</v>
      </c>
      <c r="J1195" s="44" t="s">
        <v>27</v>
      </c>
    </row>
    <row r="1196" spans="1:10" x14ac:dyDescent="0.25">
      <c r="A1196" s="41" t="s">
        <v>1054</v>
      </c>
      <c r="B1196" s="13"/>
      <c r="C1196" s="13"/>
      <c r="D1196" s="14" t="s">
        <v>1055</v>
      </c>
      <c r="E1196" s="14"/>
      <c r="F1196" s="26">
        <v>1</v>
      </c>
      <c r="G1196" s="66"/>
      <c r="H1196" s="66"/>
      <c r="I1196" s="15">
        <v>4586.5</v>
      </c>
      <c r="J1196" s="42">
        <v>2.620390581565412E-4</v>
      </c>
    </row>
    <row r="1197" spans="1:10" x14ac:dyDescent="0.25">
      <c r="A1197" s="41" t="s">
        <v>1056</v>
      </c>
      <c r="B1197" s="13"/>
      <c r="C1197" s="13"/>
      <c r="D1197" s="14" t="s">
        <v>973</v>
      </c>
      <c r="E1197" s="14"/>
      <c r="F1197" s="26">
        <v>1</v>
      </c>
      <c r="G1197" s="66"/>
      <c r="H1197" s="66"/>
      <c r="I1197" s="15">
        <v>4586.5</v>
      </c>
      <c r="J1197" s="42">
        <v>2.620390581565412E-4</v>
      </c>
    </row>
    <row r="1198" spans="1:10" ht="39.6" x14ac:dyDescent="0.25">
      <c r="A1198" s="39" t="s">
        <v>1057</v>
      </c>
      <c r="B1198" s="16" t="s">
        <v>1058</v>
      </c>
      <c r="C1198" s="16" t="s">
        <v>21</v>
      </c>
      <c r="D1198" s="17" t="s">
        <v>1059</v>
      </c>
      <c r="E1198" s="16" t="s">
        <v>52</v>
      </c>
      <c r="F1198" s="27">
        <v>83</v>
      </c>
      <c r="G1198" s="67">
        <v>31.2</v>
      </c>
      <c r="H1198" s="67">
        <v>37.619999999999997</v>
      </c>
      <c r="I1198" s="18">
        <v>3122.46</v>
      </c>
      <c r="J1198" s="40">
        <v>1.7839452251858142E-4</v>
      </c>
    </row>
    <row r="1199" spans="1:10" x14ac:dyDescent="0.25">
      <c r="A1199" s="43" t="s">
        <v>24</v>
      </c>
      <c r="B1199" s="83"/>
      <c r="C1199" s="83"/>
      <c r="D1199" s="84" t="s">
        <v>3</v>
      </c>
      <c r="E1199" s="85" t="s">
        <v>25</v>
      </c>
      <c r="F1199" s="85"/>
      <c r="G1199" s="85"/>
      <c r="H1199" s="86"/>
      <c r="I1199" s="87" t="s">
        <v>1911</v>
      </c>
      <c r="J1199" s="44"/>
    </row>
    <row r="1200" spans="1:10" ht="26.4" x14ac:dyDescent="0.25">
      <c r="A1200" s="51"/>
      <c r="B1200" s="83"/>
      <c r="C1200" s="83"/>
      <c r="D1200" s="84" t="s">
        <v>837</v>
      </c>
      <c r="E1200" s="85">
        <f>83</f>
        <v>83</v>
      </c>
      <c r="F1200" s="85"/>
      <c r="G1200" s="85"/>
      <c r="H1200" s="85"/>
      <c r="I1200" s="88">
        <v>83</v>
      </c>
      <c r="J1200" s="44" t="s">
        <v>27</v>
      </c>
    </row>
    <row r="1201" spans="1:10" ht="39.6" x14ac:dyDescent="0.25">
      <c r="A1201" s="39" t="s">
        <v>1060</v>
      </c>
      <c r="B1201" s="16" t="s">
        <v>1061</v>
      </c>
      <c r="C1201" s="16" t="s">
        <v>21</v>
      </c>
      <c r="D1201" s="17" t="s">
        <v>1062</v>
      </c>
      <c r="E1201" s="16" t="s">
        <v>588</v>
      </c>
      <c r="F1201" s="27">
        <v>12</v>
      </c>
      <c r="G1201" s="67">
        <v>25.85</v>
      </c>
      <c r="H1201" s="67">
        <v>31.17</v>
      </c>
      <c r="I1201" s="18">
        <v>374.04</v>
      </c>
      <c r="J1201" s="40">
        <v>2.1369909367245759E-5</v>
      </c>
    </row>
    <row r="1202" spans="1:10" x14ac:dyDescent="0.25">
      <c r="A1202" s="43" t="s">
        <v>24</v>
      </c>
      <c r="B1202" s="83"/>
      <c r="C1202" s="83"/>
      <c r="D1202" s="84" t="s">
        <v>3</v>
      </c>
      <c r="E1202" s="85" t="s">
        <v>25</v>
      </c>
      <c r="F1202" s="85"/>
      <c r="G1202" s="85"/>
      <c r="H1202" s="86"/>
      <c r="I1202" s="87" t="s">
        <v>1911</v>
      </c>
      <c r="J1202" s="44"/>
    </row>
    <row r="1203" spans="1:10" ht="26.4" x14ac:dyDescent="0.25">
      <c r="A1203" s="51"/>
      <c r="B1203" s="83"/>
      <c r="C1203" s="83"/>
      <c r="D1203" s="84" t="s">
        <v>837</v>
      </c>
      <c r="E1203" s="85">
        <f>12</f>
        <v>12</v>
      </c>
      <c r="F1203" s="85"/>
      <c r="G1203" s="85"/>
      <c r="H1203" s="85"/>
      <c r="I1203" s="88">
        <v>12</v>
      </c>
      <c r="J1203" s="44" t="s">
        <v>27</v>
      </c>
    </row>
    <row r="1204" spans="1:10" ht="39.6" x14ac:dyDescent="0.25">
      <c r="A1204" s="39" t="s">
        <v>1063</v>
      </c>
      <c r="B1204" s="16" t="s">
        <v>1064</v>
      </c>
      <c r="C1204" s="16" t="s">
        <v>21</v>
      </c>
      <c r="D1204" s="17" t="s">
        <v>1065</v>
      </c>
      <c r="E1204" s="16" t="s">
        <v>588</v>
      </c>
      <c r="F1204" s="27">
        <v>8</v>
      </c>
      <c r="G1204" s="67">
        <v>25.26</v>
      </c>
      <c r="H1204" s="67">
        <v>30.46</v>
      </c>
      <c r="I1204" s="18">
        <v>243.68</v>
      </c>
      <c r="J1204" s="40">
        <v>1.3922092596006969E-5</v>
      </c>
    </row>
    <row r="1205" spans="1:10" x14ac:dyDescent="0.25">
      <c r="A1205" s="43" t="s">
        <v>24</v>
      </c>
      <c r="B1205" s="83"/>
      <c r="C1205" s="83"/>
      <c r="D1205" s="84" t="s">
        <v>3</v>
      </c>
      <c r="E1205" s="85" t="s">
        <v>25</v>
      </c>
      <c r="F1205" s="85"/>
      <c r="G1205" s="85"/>
      <c r="H1205" s="86"/>
      <c r="I1205" s="87" t="s">
        <v>1911</v>
      </c>
      <c r="J1205" s="44"/>
    </row>
    <row r="1206" spans="1:10" ht="26.4" x14ac:dyDescent="0.25">
      <c r="A1206" s="51"/>
      <c r="B1206" s="83"/>
      <c r="C1206" s="83"/>
      <c r="D1206" s="84" t="s">
        <v>837</v>
      </c>
      <c r="E1206" s="85">
        <f>8</f>
        <v>8</v>
      </c>
      <c r="F1206" s="85"/>
      <c r="G1206" s="85"/>
      <c r="H1206" s="85"/>
      <c r="I1206" s="88">
        <v>8</v>
      </c>
      <c r="J1206" s="44" t="s">
        <v>27</v>
      </c>
    </row>
    <row r="1207" spans="1:10" ht="39.6" x14ac:dyDescent="0.25">
      <c r="A1207" s="39" t="s">
        <v>1066</v>
      </c>
      <c r="B1207" s="16" t="s">
        <v>1067</v>
      </c>
      <c r="C1207" s="16" t="s">
        <v>21</v>
      </c>
      <c r="D1207" s="17" t="s">
        <v>1068</v>
      </c>
      <c r="E1207" s="16" t="s">
        <v>588</v>
      </c>
      <c r="F1207" s="27">
        <v>7</v>
      </c>
      <c r="G1207" s="67">
        <v>44.57</v>
      </c>
      <c r="H1207" s="67">
        <v>53.75</v>
      </c>
      <c r="I1207" s="18">
        <v>376.25</v>
      </c>
      <c r="J1207" s="40">
        <v>2.1496172600326747E-5</v>
      </c>
    </row>
    <row r="1208" spans="1:10" x14ac:dyDescent="0.25">
      <c r="A1208" s="43" t="s">
        <v>24</v>
      </c>
      <c r="B1208" s="83"/>
      <c r="C1208" s="83"/>
      <c r="D1208" s="84" t="s">
        <v>3</v>
      </c>
      <c r="E1208" s="85" t="s">
        <v>25</v>
      </c>
      <c r="F1208" s="85"/>
      <c r="G1208" s="85"/>
      <c r="H1208" s="86"/>
      <c r="I1208" s="87" t="s">
        <v>1911</v>
      </c>
      <c r="J1208" s="44"/>
    </row>
    <row r="1209" spans="1:10" ht="26.4" x14ac:dyDescent="0.25">
      <c r="A1209" s="51"/>
      <c r="B1209" s="83"/>
      <c r="C1209" s="83"/>
      <c r="D1209" s="84" t="s">
        <v>837</v>
      </c>
      <c r="E1209" s="85">
        <f>7</f>
        <v>7</v>
      </c>
      <c r="F1209" s="85"/>
      <c r="G1209" s="85"/>
      <c r="H1209" s="85"/>
      <c r="I1209" s="88">
        <v>7</v>
      </c>
      <c r="J1209" s="44" t="s">
        <v>27</v>
      </c>
    </row>
    <row r="1210" spans="1:10" ht="39.6" x14ac:dyDescent="0.25">
      <c r="A1210" s="39" t="s">
        <v>1069</v>
      </c>
      <c r="B1210" s="16" t="s">
        <v>1070</v>
      </c>
      <c r="C1210" s="16" t="s">
        <v>21</v>
      </c>
      <c r="D1210" s="17" t="s">
        <v>1071</v>
      </c>
      <c r="E1210" s="16" t="s">
        <v>588</v>
      </c>
      <c r="F1210" s="27">
        <v>27</v>
      </c>
      <c r="G1210" s="67">
        <v>14.44</v>
      </c>
      <c r="H1210" s="67">
        <v>17.41</v>
      </c>
      <c r="I1210" s="18">
        <v>470.07</v>
      </c>
      <c r="J1210" s="40">
        <v>2.6856361074380317E-5</v>
      </c>
    </row>
    <row r="1211" spans="1:10" x14ac:dyDescent="0.25">
      <c r="A1211" s="43" t="s">
        <v>24</v>
      </c>
      <c r="B1211" s="83"/>
      <c r="C1211" s="83"/>
      <c r="D1211" s="84" t="s">
        <v>3</v>
      </c>
      <c r="E1211" s="85" t="s">
        <v>25</v>
      </c>
      <c r="F1211" s="85"/>
      <c r="G1211" s="85"/>
      <c r="H1211" s="86"/>
      <c r="I1211" s="87" t="s">
        <v>1911</v>
      </c>
      <c r="J1211" s="44"/>
    </row>
    <row r="1212" spans="1:10" ht="26.4" x14ac:dyDescent="0.25">
      <c r="A1212" s="51"/>
      <c r="B1212" s="83"/>
      <c r="C1212" s="83"/>
      <c r="D1212" s="84" t="s">
        <v>837</v>
      </c>
      <c r="E1212" s="85">
        <f>27</f>
        <v>27</v>
      </c>
      <c r="F1212" s="85"/>
      <c r="G1212" s="85"/>
      <c r="H1212" s="85"/>
      <c r="I1212" s="88">
        <v>27</v>
      </c>
      <c r="J1212" s="44" t="s">
        <v>27</v>
      </c>
    </row>
    <row r="1213" spans="1:10" x14ac:dyDescent="0.25">
      <c r="A1213" s="41" t="s">
        <v>1072</v>
      </c>
      <c r="B1213" s="13"/>
      <c r="C1213" s="13"/>
      <c r="D1213" s="14" t="s">
        <v>1073</v>
      </c>
      <c r="E1213" s="14"/>
      <c r="F1213" s="26">
        <v>1</v>
      </c>
      <c r="G1213" s="66"/>
      <c r="H1213" s="66"/>
      <c r="I1213" s="15">
        <v>73595.17</v>
      </c>
      <c r="J1213" s="42">
        <v>4.2046896395226286E-3</v>
      </c>
    </row>
    <row r="1214" spans="1:10" x14ac:dyDescent="0.25">
      <c r="A1214" s="45" t="s">
        <v>1074</v>
      </c>
      <c r="B1214" s="21" t="s">
        <v>1075</v>
      </c>
      <c r="C1214" s="21" t="s">
        <v>582</v>
      </c>
      <c r="D1214" s="22" t="s">
        <v>1076</v>
      </c>
      <c r="E1214" s="21" t="s">
        <v>588</v>
      </c>
      <c r="F1214" s="28">
        <v>14</v>
      </c>
      <c r="G1214" s="68">
        <v>190.68</v>
      </c>
      <c r="H1214" s="68">
        <v>211.44</v>
      </c>
      <c r="I1214" s="23">
        <v>2960.16</v>
      </c>
      <c r="J1214" s="46">
        <v>1.6912188779955674E-4</v>
      </c>
    </row>
    <row r="1215" spans="1:10" x14ac:dyDescent="0.25">
      <c r="A1215" s="43" t="s">
        <v>24</v>
      </c>
      <c r="B1215" s="83"/>
      <c r="C1215" s="83"/>
      <c r="D1215" s="84" t="s">
        <v>3</v>
      </c>
      <c r="E1215" s="85" t="s">
        <v>25</v>
      </c>
      <c r="F1215" s="85"/>
      <c r="G1215" s="85"/>
      <c r="H1215" s="86"/>
      <c r="I1215" s="87" t="s">
        <v>1911</v>
      </c>
      <c r="J1215" s="44"/>
    </row>
    <row r="1216" spans="1:10" ht="26.4" x14ac:dyDescent="0.25">
      <c r="A1216" s="51"/>
      <c r="B1216" s="83"/>
      <c r="C1216" s="83"/>
      <c r="D1216" s="84" t="s">
        <v>837</v>
      </c>
      <c r="E1216" s="85">
        <f>14</f>
        <v>14</v>
      </c>
      <c r="F1216" s="85"/>
      <c r="G1216" s="85"/>
      <c r="H1216" s="85"/>
      <c r="I1216" s="88">
        <v>14</v>
      </c>
      <c r="J1216" s="44" t="s">
        <v>27</v>
      </c>
    </row>
    <row r="1217" spans="1:10" x14ac:dyDescent="0.25">
      <c r="A1217" s="45" t="s">
        <v>1077</v>
      </c>
      <c r="B1217" s="21" t="s">
        <v>1078</v>
      </c>
      <c r="C1217" s="21" t="s">
        <v>582</v>
      </c>
      <c r="D1217" s="22" t="s">
        <v>1079</v>
      </c>
      <c r="E1217" s="21" t="s">
        <v>588</v>
      </c>
      <c r="F1217" s="28">
        <v>16</v>
      </c>
      <c r="G1217" s="68">
        <v>57.57</v>
      </c>
      <c r="H1217" s="68">
        <v>63.83</v>
      </c>
      <c r="I1217" s="23">
        <v>1021.28</v>
      </c>
      <c r="J1217" s="46">
        <v>5.8348468181426446E-5</v>
      </c>
    </row>
    <row r="1218" spans="1:10" x14ac:dyDescent="0.25">
      <c r="A1218" s="43" t="s">
        <v>24</v>
      </c>
      <c r="B1218" s="83"/>
      <c r="C1218" s="83"/>
      <c r="D1218" s="84" t="s">
        <v>3</v>
      </c>
      <c r="E1218" s="85" t="s">
        <v>25</v>
      </c>
      <c r="F1218" s="85"/>
      <c r="G1218" s="85"/>
      <c r="H1218" s="86"/>
      <c r="I1218" s="87" t="s">
        <v>1911</v>
      </c>
      <c r="J1218" s="44"/>
    </row>
    <row r="1219" spans="1:10" ht="26.4" x14ac:dyDescent="0.25">
      <c r="A1219" s="51"/>
      <c r="B1219" s="83"/>
      <c r="C1219" s="83"/>
      <c r="D1219" s="84" t="s">
        <v>837</v>
      </c>
      <c r="E1219" s="85">
        <f>16</f>
        <v>16</v>
      </c>
      <c r="F1219" s="85"/>
      <c r="G1219" s="85"/>
      <c r="H1219" s="85"/>
      <c r="I1219" s="88">
        <v>16</v>
      </c>
      <c r="J1219" s="44" t="s">
        <v>27</v>
      </c>
    </row>
    <row r="1220" spans="1:10" x14ac:dyDescent="0.25">
      <c r="A1220" s="45" t="s">
        <v>1080</v>
      </c>
      <c r="B1220" s="21" t="s">
        <v>1081</v>
      </c>
      <c r="C1220" s="21" t="s">
        <v>56</v>
      </c>
      <c r="D1220" s="22" t="s">
        <v>1082</v>
      </c>
      <c r="E1220" s="21" t="s">
        <v>1083</v>
      </c>
      <c r="F1220" s="28">
        <v>8</v>
      </c>
      <c r="G1220" s="68">
        <v>534.39</v>
      </c>
      <c r="H1220" s="68">
        <v>592.58000000000004</v>
      </c>
      <c r="I1220" s="23">
        <v>4740.6400000000003</v>
      </c>
      <c r="J1220" s="46">
        <v>2.7084549016880531E-4</v>
      </c>
    </row>
    <row r="1221" spans="1:10" x14ac:dyDescent="0.25">
      <c r="A1221" s="43" t="s">
        <v>24</v>
      </c>
      <c r="B1221" s="83"/>
      <c r="C1221" s="83"/>
      <c r="D1221" s="84" t="s">
        <v>3</v>
      </c>
      <c r="E1221" s="85" t="s">
        <v>25</v>
      </c>
      <c r="F1221" s="85"/>
      <c r="G1221" s="85"/>
      <c r="H1221" s="86"/>
      <c r="I1221" s="87" t="s">
        <v>1911</v>
      </c>
      <c r="J1221" s="44"/>
    </row>
    <row r="1222" spans="1:10" ht="26.4" x14ac:dyDescent="0.25">
      <c r="A1222" s="51"/>
      <c r="B1222" s="83"/>
      <c r="C1222" s="83"/>
      <c r="D1222" s="84" t="s">
        <v>837</v>
      </c>
      <c r="E1222" s="85">
        <f>8</f>
        <v>8</v>
      </c>
      <c r="F1222" s="85"/>
      <c r="G1222" s="85"/>
      <c r="H1222" s="85"/>
      <c r="I1222" s="88">
        <v>8</v>
      </c>
      <c r="J1222" s="44" t="s">
        <v>27</v>
      </c>
    </row>
    <row r="1223" spans="1:10" x14ac:dyDescent="0.25">
      <c r="A1223" s="45" t="s">
        <v>1084</v>
      </c>
      <c r="B1223" s="21" t="s">
        <v>1085</v>
      </c>
      <c r="C1223" s="21" t="s">
        <v>582</v>
      </c>
      <c r="D1223" s="22" t="s">
        <v>1086</v>
      </c>
      <c r="E1223" s="21" t="s">
        <v>588</v>
      </c>
      <c r="F1223" s="28">
        <v>16</v>
      </c>
      <c r="G1223" s="68">
        <v>513</v>
      </c>
      <c r="H1223" s="68">
        <v>568.86</v>
      </c>
      <c r="I1223" s="23">
        <v>9101.76</v>
      </c>
      <c r="J1223" s="46">
        <v>5.2000798385847175E-4</v>
      </c>
    </row>
    <row r="1224" spans="1:10" x14ac:dyDescent="0.25">
      <c r="A1224" s="43" t="s">
        <v>24</v>
      </c>
      <c r="B1224" s="83"/>
      <c r="C1224" s="83"/>
      <c r="D1224" s="84" t="s">
        <v>3</v>
      </c>
      <c r="E1224" s="85" t="s">
        <v>25</v>
      </c>
      <c r="F1224" s="85"/>
      <c r="G1224" s="85"/>
      <c r="H1224" s="86"/>
      <c r="I1224" s="87" t="s">
        <v>1911</v>
      </c>
      <c r="J1224" s="44"/>
    </row>
    <row r="1225" spans="1:10" ht="26.4" x14ac:dyDescent="0.25">
      <c r="A1225" s="51"/>
      <c r="B1225" s="83"/>
      <c r="C1225" s="83"/>
      <c r="D1225" s="84" t="s">
        <v>837</v>
      </c>
      <c r="E1225" s="85">
        <f>16</f>
        <v>16</v>
      </c>
      <c r="F1225" s="85"/>
      <c r="G1225" s="85"/>
      <c r="H1225" s="85"/>
      <c r="I1225" s="88">
        <v>16</v>
      </c>
      <c r="J1225" s="44" t="s">
        <v>27</v>
      </c>
    </row>
    <row r="1226" spans="1:10" x14ac:dyDescent="0.25">
      <c r="A1226" s="39" t="s">
        <v>1087</v>
      </c>
      <c r="B1226" s="16" t="s">
        <v>1088</v>
      </c>
      <c r="C1226" s="16" t="s">
        <v>56</v>
      </c>
      <c r="D1226" s="17" t="s">
        <v>1089</v>
      </c>
      <c r="E1226" s="16" t="s">
        <v>222</v>
      </c>
      <c r="F1226" s="27">
        <v>95.29</v>
      </c>
      <c r="G1226" s="67">
        <v>485.31</v>
      </c>
      <c r="H1226" s="67">
        <v>585.28</v>
      </c>
      <c r="I1226" s="18">
        <v>55771.33</v>
      </c>
      <c r="J1226" s="40">
        <v>3.1863658095143688E-3</v>
      </c>
    </row>
    <row r="1227" spans="1:10" x14ac:dyDescent="0.25">
      <c r="A1227" s="43" t="s">
        <v>24</v>
      </c>
      <c r="B1227" s="83"/>
      <c r="C1227" s="83"/>
      <c r="D1227" s="84" t="s">
        <v>3</v>
      </c>
      <c r="E1227" s="85" t="s">
        <v>25</v>
      </c>
      <c r="F1227" s="85"/>
      <c r="G1227" s="85"/>
      <c r="H1227" s="86"/>
      <c r="I1227" s="87" t="s">
        <v>1911</v>
      </c>
      <c r="J1227" s="44"/>
    </row>
    <row r="1228" spans="1:10" ht="26.4" x14ac:dyDescent="0.25">
      <c r="A1228" s="51"/>
      <c r="B1228" s="83"/>
      <c r="C1228" s="83"/>
      <c r="D1228" s="84" t="s">
        <v>837</v>
      </c>
      <c r="E1228" s="85">
        <f>95.29</f>
        <v>95.29</v>
      </c>
      <c r="F1228" s="85"/>
      <c r="G1228" s="85"/>
      <c r="H1228" s="85"/>
      <c r="I1228" s="88">
        <v>95.29</v>
      </c>
      <c r="J1228" s="44" t="s">
        <v>27</v>
      </c>
    </row>
    <row r="1229" spans="1:10" x14ac:dyDescent="0.25">
      <c r="A1229" s="41" t="s">
        <v>1090</v>
      </c>
      <c r="B1229" s="13"/>
      <c r="C1229" s="13"/>
      <c r="D1229" s="14" t="s">
        <v>1091</v>
      </c>
      <c r="E1229" s="14"/>
      <c r="F1229" s="26">
        <v>1</v>
      </c>
      <c r="G1229" s="66"/>
      <c r="H1229" s="66"/>
      <c r="I1229" s="15">
        <v>376933.82</v>
      </c>
      <c r="J1229" s="42">
        <v>2.1535241072745501E-2</v>
      </c>
    </row>
    <row r="1230" spans="1:10" x14ac:dyDescent="0.25">
      <c r="A1230" s="41" t="s">
        <v>1092</v>
      </c>
      <c r="B1230" s="13"/>
      <c r="C1230" s="13"/>
      <c r="D1230" s="14" t="s">
        <v>1093</v>
      </c>
      <c r="E1230" s="14"/>
      <c r="F1230" s="26">
        <v>1</v>
      </c>
      <c r="G1230" s="66"/>
      <c r="H1230" s="66"/>
      <c r="I1230" s="15">
        <v>167021.38</v>
      </c>
      <c r="J1230" s="42">
        <v>9.5423798336870744E-3</v>
      </c>
    </row>
    <row r="1231" spans="1:10" ht="52.8" x14ac:dyDescent="0.25">
      <c r="A1231" s="39" t="s">
        <v>1094</v>
      </c>
      <c r="B1231" s="16" t="s">
        <v>1095</v>
      </c>
      <c r="C1231" s="16" t="s">
        <v>21</v>
      </c>
      <c r="D1231" s="17" t="s">
        <v>1096</v>
      </c>
      <c r="E1231" s="16" t="s">
        <v>52</v>
      </c>
      <c r="F1231" s="27">
        <v>123.21</v>
      </c>
      <c r="G1231" s="67">
        <v>129.19</v>
      </c>
      <c r="H1231" s="67">
        <v>155.80000000000001</v>
      </c>
      <c r="I1231" s="18">
        <v>19196.11</v>
      </c>
      <c r="J1231" s="40">
        <v>1.0967252991757031E-3</v>
      </c>
    </row>
    <row r="1232" spans="1:10" x14ac:dyDescent="0.25">
      <c r="A1232" s="43" t="s">
        <v>24</v>
      </c>
      <c r="B1232" s="83"/>
      <c r="C1232" s="83"/>
      <c r="D1232" s="84" t="s">
        <v>3</v>
      </c>
      <c r="E1232" s="85" t="s">
        <v>25</v>
      </c>
      <c r="F1232" s="85"/>
      <c r="G1232" s="85"/>
      <c r="H1232" s="86"/>
      <c r="I1232" s="87" t="s">
        <v>1911</v>
      </c>
      <c r="J1232" s="44"/>
    </row>
    <row r="1233" spans="1:10" ht="26.4" x14ac:dyDescent="0.25">
      <c r="A1233" s="51"/>
      <c r="B1233" s="83"/>
      <c r="C1233" s="83"/>
      <c r="D1233" s="84" t="s">
        <v>837</v>
      </c>
      <c r="E1233" s="85">
        <f>123.21</f>
        <v>123.21</v>
      </c>
      <c r="F1233" s="85"/>
      <c r="G1233" s="85"/>
      <c r="H1233" s="85"/>
      <c r="I1233" s="88">
        <v>123.21</v>
      </c>
      <c r="J1233" s="44" t="s">
        <v>27</v>
      </c>
    </row>
    <row r="1234" spans="1:10" ht="52.8" x14ac:dyDescent="0.25">
      <c r="A1234" s="39" t="s">
        <v>1097</v>
      </c>
      <c r="B1234" s="16" t="s">
        <v>1098</v>
      </c>
      <c r="C1234" s="16" t="s">
        <v>21</v>
      </c>
      <c r="D1234" s="17" t="s">
        <v>1099</v>
      </c>
      <c r="E1234" s="16" t="s">
        <v>52</v>
      </c>
      <c r="F1234" s="27">
        <v>23.4</v>
      </c>
      <c r="G1234" s="67">
        <v>268.44</v>
      </c>
      <c r="H1234" s="67">
        <v>323.73</v>
      </c>
      <c r="I1234" s="18">
        <v>7575.28</v>
      </c>
      <c r="J1234" s="40">
        <v>4.327960833908391E-4</v>
      </c>
    </row>
    <row r="1235" spans="1:10" x14ac:dyDescent="0.25">
      <c r="A1235" s="43" t="s">
        <v>24</v>
      </c>
      <c r="B1235" s="83"/>
      <c r="C1235" s="83"/>
      <c r="D1235" s="84" t="s">
        <v>3</v>
      </c>
      <c r="E1235" s="85" t="s">
        <v>25</v>
      </c>
      <c r="F1235" s="85"/>
      <c r="G1235" s="85"/>
      <c r="H1235" s="86"/>
      <c r="I1235" s="87" t="s">
        <v>1911</v>
      </c>
      <c r="J1235" s="44"/>
    </row>
    <row r="1236" spans="1:10" ht="26.4" x14ac:dyDescent="0.25">
      <c r="A1236" s="51"/>
      <c r="B1236" s="83"/>
      <c r="C1236" s="83"/>
      <c r="D1236" s="84" t="s">
        <v>837</v>
      </c>
      <c r="E1236" s="85">
        <f>23.4</f>
        <v>23.4</v>
      </c>
      <c r="F1236" s="85"/>
      <c r="G1236" s="85"/>
      <c r="H1236" s="85"/>
      <c r="I1236" s="88">
        <v>23.4</v>
      </c>
      <c r="J1236" s="44" t="s">
        <v>27</v>
      </c>
    </row>
    <row r="1237" spans="1:10" ht="26.4" x14ac:dyDescent="0.25">
      <c r="A1237" s="39" t="s">
        <v>1100</v>
      </c>
      <c r="B1237" s="16" t="s">
        <v>1101</v>
      </c>
      <c r="C1237" s="16" t="s">
        <v>56</v>
      </c>
      <c r="D1237" s="17" t="s">
        <v>1102</v>
      </c>
      <c r="E1237" s="16" t="s">
        <v>222</v>
      </c>
      <c r="F1237" s="27">
        <v>51.21</v>
      </c>
      <c r="G1237" s="67">
        <v>147.75</v>
      </c>
      <c r="H1237" s="67">
        <v>178.18</v>
      </c>
      <c r="I1237" s="18">
        <v>9124.59</v>
      </c>
      <c r="J1237" s="40">
        <v>5.2131232304907763E-4</v>
      </c>
    </row>
    <row r="1238" spans="1:10" x14ac:dyDescent="0.25">
      <c r="A1238" s="43" t="s">
        <v>24</v>
      </c>
      <c r="B1238" s="83"/>
      <c r="C1238" s="83"/>
      <c r="D1238" s="84" t="s">
        <v>3</v>
      </c>
      <c r="E1238" s="85" t="s">
        <v>25</v>
      </c>
      <c r="F1238" s="85"/>
      <c r="G1238" s="85"/>
      <c r="H1238" s="86"/>
      <c r="I1238" s="87" t="s">
        <v>1911</v>
      </c>
      <c r="J1238" s="44"/>
    </row>
    <row r="1239" spans="1:10" ht="26.4" x14ac:dyDescent="0.25">
      <c r="A1239" s="51"/>
      <c r="B1239" s="83"/>
      <c r="C1239" s="83"/>
      <c r="D1239" s="84" t="s">
        <v>837</v>
      </c>
      <c r="E1239" s="85">
        <f>51.21</f>
        <v>51.21</v>
      </c>
      <c r="F1239" s="85"/>
      <c r="G1239" s="85"/>
      <c r="H1239" s="85"/>
      <c r="I1239" s="88">
        <v>51.21</v>
      </c>
      <c r="J1239" s="44" t="s">
        <v>27</v>
      </c>
    </row>
    <row r="1240" spans="1:10" ht="26.4" x14ac:dyDescent="0.25">
      <c r="A1240" s="39" t="s">
        <v>1103</v>
      </c>
      <c r="B1240" s="16" t="s">
        <v>1104</v>
      </c>
      <c r="C1240" s="16" t="s">
        <v>56</v>
      </c>
      <c r="D1240" s="17" t="s">
        <v>1105</v>
      </c>
      <c r="E1240" s="16" t="s">
        <v>222</v>
      </c>
      <c r="F1240" s="27">
        <v>84.89</v>
      </c>
      <c r="G1240" s="67">
        <v>210.49</v>
      </c>
      <c r="H1240" s="67">
        <v>253.85</v>
      </c>
      <c r="I1240" s="18">
        <v>21549.32</v>
      </c>
      <c r="J1240" s="40">
        <v>1.2311705040257096E-3</v>
      </c>
    </row>
    <row r="1241" spans="1:10" x14ac:dyDescent="0.25">
      <c r="A1241" s="43" t="s">
        <v>24</v>
      </c>
      <c r="B1241" s="83"/>
      <c r="C1241" s="83"/>
      <c r="D1241" s="84" t="s">
        <v>3</v>
      </c>
      <c r="E1241" s="85" t="s">
        <v>25</v>
      </c>
      <c r="F1241" s="85"/>
      <c r="G1241" s="85"/>
      <c r="H1241" s="86"/>
      <c r="I1241" s="87" t="s">
        <v>1911</v>
      </c>
      <c r="J1241" s="44"/>
    </row>
    <row r="1242" spans="1:10" ht="26.4" x14ac:dyDescent="0.25">
      <c r="A1242" s="51"/>
      <c r="B1242" s="83"/>
      <c r="C1242" s="83"/>
      <c r="D1242" s="84" t="s">
        <v>837</v>
      </c>
      <c r="E1242" s="85">
        <f>84.89</f>
        <v>84.89</v>
      </c>
      <c r="F1242" s="85"/>
      <c r="G1242" s="85"/>
      <c r="H1242" s="85"/>
      <c r="I1242" s="88">
        <v>84.89</v>
      </c>
      <c r="J1242" s="44" t="s">
        <v>27</v>
      </c>
    </row>
    <row r="1243" spans="1:10" ht="39.6" x14ac:dyDescent="0.25">
      <c r="A1243" s="39" t="s">
        <v>1106</v>
      </c>
      <c r="B1243" s="16" t="s">
        <v>1107</v>
      </c>
      <c r="C1243" s="16" t="s">
        <v>21</v>
      </c>
      <c r="D1243" s="17" t="s">
        <v>1108</v>
      </c>
      <c r="E1243" s="16" t="s">
        <v>52</v>
      </c>
      <c r="F1243" s="27">
        <v>101.74</v>
      </c>
      <c r="G1243" s="67">
        <v>22.39</v>
      </c>
      <c r="H1243" s="67">
        <v>27</v>
      </c>
      <c r="I1243" s="18">
        <v>2746.98</v>
      </c>
      <c r="J1243" s="40">
        <v>1.5694234208543672E-4</v>
      </c>
    </row>
    <row r="1244" spans="1:10" x14ac:dyDescent="0.25">
      <c r="A1244" s="43" t="s">
        <v>24</v>
      </c>
      <c r="B1244" s="83"/>
      <c r="C1244" s="83"/>
      <c r="D1244" s="84" t="s">
        <v>3</v>
      </c>
      <c r="E1244" s="85" t="s">
        <v>25</v>
      </c>
      <c r="F1244" s="85"/>
      <c r="G1244" s="85"/>
      <c r="H1244" s="86"/>
      <c r="I1244" s="87" t="s">
        <v>1911</v>
      </c>
      <c r="J1244" s="44"/>
    </row>
    <row r="1245" spans="1:10" ht="26.4" x14ac:dyDescent="0.25">
      <c r="A1245" s="51"/>
      <c r="B1245" s="83"/>
      <c r="C1245" s="83"/>
      <c r="D1245" s="84" t="s">
        <v>837</v>
      </c>
      <c r="E1245" s="85">
        <f>101.74</f>
        <v>101.74</v>
      </c>
      <c r="F1245" s="85"/>
      <c r="G1245" s="85"/>
      <c r="H1245" s="85"/>
      <c r="I1245" s="88">
        <v>101.74</v>
      </c>
      <c r="J1245" s="44" t="s">
        <v>27</v>
      </c>
    </row>
    <row r="1246" spans="1:10" ht="26.4" x14ac:dyDescent="0.25">
      <c r="A1246" s="39" t="s">
        <v>1109</v>
      </c>
      <c r="B1246" s="16" t="s">
        <v>1110</v>
      </c>
      <c r="C1246" s="16" t="s">
        <v>21</v>
      </c>
      <c r="D1246" s="17" t="s">
        <v>1111</v>
      </c>
      <c r="E1246" s="16" t="s">
        <v>52</v>
      </c>
      <c r="F1246" s="27">
        <v>52.64</v>
      </c>
      <c r="G1246" s="67">
        <v>30.2</v>
      </c>
      <c r="H1246" s="67">
        <v>36.42</v>
      </c>
      <c r="I1246" s="18">
        <v>1917.14</v>
      </c>
      <c r="J1246" s="40">
        <v>1.0953135505379514E-4</v>
      </c>
    </row>
    <row r="1247" spans="1:10" x14ac:dyDescent="0.25">
      <c r="A1247" s="43" t="s">
        <v>24</v>
      </c>
      <c r="B1247" s="83"/>
      <c r="C1247" s="83"/>
      <c r="D1247" s="84" t="s">
        <v>3</v>
      </c>
      <c r="E1247" s="85" t="s">
        <v>25</v>
      </c>
      <c r="F1247" s="85"/>
      <c r="G1247" s="85"/>
      <c r="H1247" s="86"/>
      <c r="I1247" s="87" t="s">
        <v>1911</v>
      </c>
      <c r="J1247" s="44"/>
    </row>
    <row r="1248" spans="1:10" ht="26.4" x14ac:dyDescent="0.25">
      <c r="A1248" s="51"/>
      <c r="B1248" s="83"/>
      <c r="C1248" s="83"/>
      <c r="D1248" s="84" t="s">
        <v>837</v>
      </c>
      <c r="E1248" s="85">
        <f>52.64</f>
        <v>52.64</v>
      </c>
      <c r="F1248" s="85"/>
      <c r="G1248" s="85"/>
      <c r="H1248" s="85"/>
      <c r="I1248" s="88">
        <v>52.64</v>
      </c>
      <c r="J1248" s="44" t="s">
        <v>27</v>
      </c>
    </row>
    <row r="1249" spans="1:10" ht="39.6" x14ac:dyDescent="0.25">
      <c r="A1249" s="39" t="s">
        <v>1112</v>
      </c>
      <c r="B1249" s="16" t="s">
        <v>1058</v>
      </c>
      <c r="C1249" s="16" t="s">
        <v>21</v>
      </c>
      <c r="D1249" s="17" t="s">
        <v>1059</v>
      </c>
      <c r="E1249" s="16" t="s">
        <v>52</v>
      </c>
      <c r="F1249" s="27">
        <v>515.11</v>
      </c>
      <c r="G1249" s="67">
        <v>31.2</v>
      </c>
      <c r="H1249" s="67">
        <v>37.619999999999997</v>
      </c>
      <c r="I1249" s="18">
        <v>19378.43</v>
      </c>
      <c r="J1249" s="40">
        <v>1.1071417302414613E-3</v>
      </c>
    </row>
    <row r="1250" spans="1:10" x14ac:dyDescent="0.25">
      <c r="A1250" s="43" t="s">
        <v>24</v>
      </c>
      <c r="B1250" s="83"/>
      <c r="C1250" s="83"/>
      <c r="D1250" s="84" t="s">
        <v>3</v>
      </c>
      <c r="E1250" s="85" t="s">
        <v>25</v>
      </c>
      <c r="F1250" s="85"/>
      <c r="G1250" s="85"/>
      <c r="H1250" s="86"/>
      <c r="I1250" s="87" t="s">
        <v>1911</v>
      </c>
      <c r="J1250" s="44"/>
    </row>
    <row r="1251" spans="1:10" ht="26.4" x14ac:dyDescent="0.25">
      <c r="A1251" s="51"/>
      <c r="B1251" s="83"/>
      <c r="C1251" s="83"/>
      <c r="D1251" s="84" t="s">
        <v>837</v>
      </c>
      <c r="E1251" s="85">
        <f>515.11</f>
        <v>515.11</v>
      </c>
      <c r="F1251" s="85"/>
      <c r="G1251" s="85"/>
      <c r="H1251" s="85"/>
      <c r="I1251" s="88">
        <v>515.11</v>
      </c>
      <c r="J1251" s="44" t="s">
        <v>27</v>
      </c>
    </row>
    <row r="1252" spans="1:10" ht="39.6" x14ac:dyDescent="0.25">
      <c r="A1252" s="39" t="s">
        <v>1113</v>
      </c>
      <c r="B1252" s="16" t="s">
        <v>1114</v>
      </c>
      <c r="C1252" s="16" t="s">
        <v>21</v>
      </c>
      <c r="D1252" s="17" t="s">
        <v>1115</v>
      </c>
      <c r="E1252" s="16" t="s">
        <v>52</v>
      </c>
      <c r="F1252" s="27">
        <v>46.56</v>
      </c>
      <c r="G1252" s="67">
        <v>42.94</v>
      </c>
      <c r="H1252" s="67">
        <v>51.78</v>
      </c>
      <c r="I1252" s="18">
        <v>2410.87</v>
      </c>
      <c r="J1252" s="40">
        <v>1.3773947544704253E-4</v>
      </c>
    </row>
    <row r="1253" spans="1:10" x14ac:dyDescent="0.25">
      <c r="A1253" s="43" t="s">
        <v>24</v>
      </c>
      <c r="B1253" s="83"/>
      <c r="C1253" s="83"/>
      <c r="D1253" s="84" t="s">
        <v>3</v>
      </c>
      <c r="E1253" s="85" t="s">
        <v>25</v>
      </c>
      <c r="F1253" s="85"/>
      <c r="G1253" s="85"/>
      <c r="H1253" s="86"/>
      <c r="I1253" s="87" t="s">
        <v>1911</v>
      </c>
      <c r="J1253" s="44"/>
    </row>
    <row r="1254" spans="1:10" ht="26.4" x14ac:dyDescent="0.25">
      <c r="A1254" s="51"/>
      <c r="B1254" s="83"/>
      <c r="C1254" s="83"/>
      <c r="D1254" s="84" t="s">
        <v>837</v>
      </c>
      <c r="E1254" s="85">
        <f>46.56</f>
        <v>46.56</v>
      </c>
      <c r="F1254" s="85"/>
      <c r="G1254" s="85"/>
      <c r="H1254" s="85"/>
      <c r="I1254" s="88">
        <v>46.56</v>
      </c>
      <c r="J1254" s="44" t="s">
        <v>27</v>
      </c>
    </row>
    <row r="1255" spans="1:10" x14ac:dyDescent="0.25">
      <c r="A1255" s="39" t="s">
        <v>1116</v>
      </c>
      <c r="B1255" s="16" t="s">
        <v>1117</v>
      </c>
      <c r="C1255" s="16" t="s">
        <v>582</v>
      </c>
      <c r="D1255" s="17" t="s">
        <v>1118</v>
      </c>
      <c r="E1255" s="16" t="s">
        <v>52</v>
      </c>
      <c r="F1255" s="27">
        <v>182.25</v>
      </c>
      <c r="G1255" s="67">
        <v>247.87</v>
      </c>
      <c r="H1255" s="67">
        <v>298.93</v>
      </c>
      <c r="I1255" s="18">
        <v>54479.99</v>
      </c>
      <c r="J1255" s="40">
        <v>3.1125880885158148E-3</v>
      </c>
    </row>
    <row r="1256" spans="1:10" x14ac:dyDescent="0.25">
      <c r="A1256" s="43" t="s">
        <v>24</v>
      </c>
      <c r="B1256" s="83"/>
      <c r="C1256" s="83"/>
      <c r="D1256" s="84" t="s">
        <v>3</v>
      </c>
      <c r="E1256" s="85" t="s">
        <v>25</v>
      </c>
      <c r="F1256" s="85"/>
      <c r="G1256" s="85"/>
      <c r="H1256" s="86"/>
      <c r="I1256" s="87" t="s">
        <v>1911</v>
      </c>
      <c r="J1256" s="44"/>
    </row>
    <row r="1257" spans="1:10" ht="26.4" x14ac:dyDescent="0.25">
      <c r="A1257" s="51"/>
      <c r="B1257" s="83"/>
      <c r="C1257" s="83"/>
      <c r="D1257" s="84" t="s">
        <v>837</v>
      </c>
      <c r="E1257" s="85">
        <f>182.25</f>
        <v>182.25</v>
      </c>
      <c r="F1257" s="85"/>
      <c r="G1257" s="85"/>
      <c r="H1257" s="85"/>
      <c r="I1257" s="88">
        <v>182.25</v>
      </c>
      <c r="J1257" s="44" t="s">
        <v>27</v>
      </c>
    </row>
    <row r="1258" spans="1:10" ht="39.6" x14ac:dyDescent="0.25">
      <c r="A1258" s="39" t="s">
        <v>1119</v>
      </c>
      <c r="B1258" s="16" t="s">
        <v>1120</v>
      </c>
      <c r="C1258" s="16" t="s">
        <v>21</v>
      </c>
      <c r="D1258" s="17" t="s">
        <v>1121</v>
      </c>
      <c r="E1258" s="16" t="s">
        <v>588</v>
      </c>
      <c r="F1258" s="27">
        <v>10</v>
      </c>
      <c r="G1258" s="67">
        <v>14.6</v>
      </c>
      <c r="H1258" s="67">
        <v>17.600000000000001</v>
      </c>
      <c r="I1258" s="18">
        <v>176</v>
      </c>
      <c r="J1258" s="40">
        <v>1.0055352498757496E-5</v>
      </c>
    </row>
    <row r="1259" spans="1:10" x14ac:dyDescent="0.25">
      <c r="A1259" s="43" t="s">
        <v>24</v>
      </c>
      <c r="B1259" s="83"/>
      <c r="C1259" s="83"/>
      <c r="D1259" s="84" t="s">
        <v>3</v>
      </c>
      <c r="E1259" s="85" t="s">
        <v>25</v>
      </c>
      <c r="F1259" s="85"/>
      <c r="G1259" s="85"/>
      <c r="H1259" s="86"/>
      <c r="I1259" s="87" t="s">
        <v>1911</v>
      </c>
      <c r="J1259" s="44"/>
    </row>
    <row r="1260" spans="1:10" ht="26.4" x14ac:dyDescent="0.25">
      <c r="A1260" s="51"/>
      <c r="B1260" s="83"/>
      <c r="C1260" s="83"/>
      <c r="D1260" s="84" t="s">
        <v>837</v>
      </c>
      <c r="E1260" s="85">
        <f>10</f>
        <v>10</v>
      </c>
      <c r="F1260" s="85"/>
      <c r="G1260" s="85"/>
      <c r="H1260" s="85"/>
      <c r="I1260" s="88">
        <v>10</v>
      </c>
      <c r="J1260" s="44" t="s">
        <v>27</v>
      </c>
    </row>
    <row r="1261" spans="1:10" ht="39.6" x14ac:dyDescent="0.25">
      <c r="A1261" s="39" t="s">
        <v>1122</v>
      </c>
      <c r="B1261" s="16" t="s">
        <v>1123</v>
      </c>
      <c r="C1261" s="16" t="s">
        <v>21</v>
      </c>
      <c r="D1261" s="17" t="s">
        <v>1124</v>
      </c>
      <c r="E1261" s="16" t="s">
        <v>588</v>
      </c>
      <c r="F1261" s="27">
        <v>23</v>
      </c>
      <c r="G1261" s="67">
        <v>21.46</v>
      </c>
      <c r="H1261" s="67">
        <v>25.88</v>
      </c>
      <c r="I1261" s="18">
        <v>595.24</v>
      </c>
      <c r="J1261" s="40">
        <v>3.4007659212275067E-5</v>
      </c>
    </row>
    <row r="1262" spans="1:10" x14ac:dyDescent="0.25">
      <c r="A1262" s="43" t="s">
        <v>24</v>
      </c>
      <c r="B1262" s="83"/>
      <c r="C1262" s="83"/>
      <c r="D1262" s="84" t="s">
        <v>3</v>
      </c>
      <c r="E1262" s="85" t="s">
        <v>25</v>
      </c>
      <c r="F1262" s="85"/>
      <c r="G1262" s="85"/>
      <c r="H1262" s="86"/>
      <c r="I1262" s="87" t="s">
        <v>1911</v>
      </c>
      <c r="J1262" s="44"/>
    </row>
    <row r="1263" spans="1:10" ht="26.4" x14ac:dyDescent="0.25">
      <c r="A1263" s="51"/>
      <c r="B1263" s="83"/>
      <c r="C1263" s="83"/>
      <c r="D1263" s="84" t="s">
        <v>837</v>
      </c>
      <c r="E1263" s="85">
        <f>23</f>
        <v>23</v>
      </c>
      <c r="F1263" s="85"/>
      <c r="G1263" s="85"/>
      <c r="H1263" s="85"/>
      <c r="I1263" s="88">
        <v>23</v>
      </c>
      <c r="J1263" s="44" t="s">
        <v>27</v>
      </c>
    </row>
    <row r="1264" spans="1:10" ht="39.6" x14ac:dyDescent="0.25">
      <c r="A1264" s="39" t="s">
        <v>1125</v>
      </c>
      <c r="B1264" s="16" t="s">
        <v>1126</v>
      </c>
      <c r="C1264" s="16" t="s">
        <v>21</v>
      </c>
      <c r="D1264" s="17" t="s">
        <v>1127</v>
      </c>
      <c r="E1264" s="16" t="s">
        <v>588</v>
      </c>
      <c r="F1264" s="27">
        <v>294</v>
      </c>
      <c r="G1264" s="67">
        <v>26.97</v>
      </c>
      <c r="H1264" s="67">
        <v>32.520000000000003</v>
      </c>
      <c r="I1264" s="18">
        <v>9560.8799999999992</v>
      </c>
      <c r="J1264" s="40">
        <v>5.4623874203591231E-4</v>
      </c>
    </row>
    <row r="1265" spans="1:10" x14ac:dyDescent="0.25">
      <c r="A1265" s="43" t="s">
        <v>24</v>
      </c>
      <c r="B1265" s="83"/>
      <c r="C1265" s="83"/>
      <c r="D1265" s="84" t="s">
        <v>3</v>
      </c>
      <c r="E1265" s="85" t="s">
        <v>25</v>
      </c>
      <c r="F1265" s="85"/>
      <c r="G1265" s="85"/>
      <c r="H1265" s="86"/>
      <c r="I1265" s="87" t="s">
        <v>1911</v>
      </c>
      <c r="J1265" s="44"/>
    </row>
    <row r="1266" spans="1:10" ht="26.4" x14ac:dyDescent="0.25">
      <c r="A1266" s="51"/>
      <c r="B1266" s="83"/>
      <c r="C1266" s="83"/>
      <c r="D1266" s="84" t="s">
        <v>837</v>
      </c>
      <c r="E1266" s="85">
        <f>294</f>
        <v>294</v>
      </c>
      <c r="F1266" s="85"/>
      <c r="G1266" s="85"/>
      <c r="H1266" s="85"/>
      <c r="I1266" s="88">
        <v>294</v>
      </c>
      <c r="J1266" s="44" t="s">
        <v>27</v>
      </c>
    </row>
    <row r="1267" spans="1:10" x14ac:dyDescent="0.25">
      <c r="A1267" s="39" t="s">
        <v>1128</v>
      </c>
      <c r="B1267" s="16" t="s">
        <v>1129</v>
      </c>
      <c r="C1267" s="16" t="s">
        <v>582</v>
      </c>
      <c r="D1267" s="17" t="s">
        <v>1130</v>
      </c>
      <c r="E1267" s="16" t="s">
        <v>588</v>
      </c>
      <c r="F1267" s="27">
        <v>33</v>
      </c>
      <c r="G1267" s="67">
        <v>198.68</v>
      </c>
      <c r="H1267" s="67">
        <v>239.6</v>
      </c>
      <c r="I1267" s="18">
        <v>7906.8</v>
      </c>
      <c r="J1267" s="40">
        <v>4.5173671100668051E-4</v>
      </c>
    </row>
    <row r="1268" spans="1:10" x14ac:dyDescent="0.25">
      <c r="A1268" s="43" t="s">
        <v>24</v>
      </c>
      <c r="B1268" s="83"/>
      <c r="C1268" s="83"/>
      <c r="D1268" s="84" t="s">
        <v>3</v>
      </c>
      <c r="E1268" s="85" t="s">
        <v>25</v>
      </c>
      <c r="F1268" s="85"/>
      <c r="G1268" s="85"/>
      <c r="H1268" s="86"/>
      <c r="I1268" s="87" t="s">
        <v>1911</v>
      </c>
      <c r="J1268" s="44"/>
    </row>
    <row r="1269" spans="1:10" x14ac:dyDescent="0.25">
      <c r="A1269" s="51"/>
      <c r="B1269" s="83"/>
      <c r="C1269" s="83"/>
      <c r="D1269" s="84" t="s">
        <v>27</v>
      </c>
      <c r="E1269" s="85">
        <f>33</f>
        <v>33</v>
      </c>
      <c r="F1269" s="85"/>
      <c r="G1269" s="85"/>
      <c r="H1269" s="85"/>
      <c r="I1269" s="88">
        <v>33</v>
      </c>
      <c r="J1269" s="44" t="s">
        <v>27</v>
      </c>
    </row>
    <row r="1270" spans="1:10" ht="39.6" x14ac:dyDescent="0.25">
      <c r="A1270" s="39" t="s">
        <v>1131</v>
      </c>
      <c r="B1270" s="16" t="s">
        <v>1132</v>
      </c>
      <c r="C1270" s="16" t="s">
        <v>21</v>
      </c>
      <c r="D1270" s="17" t="s">
        <v>1133</v>
      </c>
      <c r="E1270" s="16" t="s">
        <v>588</v>
      </c>
      <c r="F1270" s="27">
        <v>10</v>
      </c>
      <c r="G1270" s="67">
        <v>14.09</v>
      </c>
      <c r="H1270" s="67">
        <v>16.989999999999998</v>
      </c>
      <c r="I1270" s="18">
        <v>169.9</v>
      </c>
      <c r="J1270" s="40">
        <v>9.7068431223801055E-6</v>
      </c>
    </row>
    <row r="1271" spans="1:10" x14ac:dyDescent="0.25">
      <c r="A1271" s="43" t="s">
        <v>24</v>
      </c>
      <c r="B1271" s="83"/>
      <c r="C1271" s="83"/>
      <c r="D1271" s="84" t="s">
        <v>3</v>
      </c>
      <c r="E1271" s="85" t="s">
        <v>25</v>
      </c>
      <c r="F1271" s="85"/>
      <c r="G1271" s="85"/>
      <c r="H1271" s="86"/>
      <c r="I1271" s="87" t="s">
        <v>1911</v>
      </c>
      <c r="J1271" s="44"/>
    </row>
    <row r="1272" spans="1:10" ht="26.4" x14ac:dyDescent="0.25">
      <c r="A1272" s="51"/>
      <c r="B1272" s="83"/>
      <c r="C1272" s="83"/>
      <c r="D1272" s="84" t="s">
        <v>837</v>
      </c>
      <c r="E1272" s="85">
        <f>10</f>
        <v>10</v>
      </c>
      <c r="F1272" s="85"/>
      <c r="G1272" s="85"/>
      <c r="H1272" s="85"/>
      <c r="I1272" s="88">
        <v>10</v>
      </c>
      <c r="J1272" s="44" t="s">
        <v>27</v>
      </c>
    </row>
    <row r="1273" spans="1:10" ht="39.6" x14ac:dyDescent="0.25">
      <c r="A1273" s="39" t="s">
        <v>1134</v>
      </c>
      <c r="B1273" s="16" t="s">
        <v>1135</v>
      </c>
      <c r="C1273" s="16" t="s">
        <v>21</v>
      </c>
      <c r="D1273" s="17" t="s">
        <v>1136</v>
      </c>
      <c r="E1273" s="16" t="s">
        <v>588</v>
      </c>
      <c r="F1273" s="27">
        <v>2</v>
      </c>
      <c r="G1273" s="67">
        <v>20.77</v>
      </c>
      <c r="H1273" s="67">
        <v>25.04</v>
      </c>
      <c r="I1273" s="18">
        <v>50.08</v>
      </c>
      <c r="J1273" s="40">
        <v>2.8612048473737238E-6</v>
      </c>
    </row>
    <row r="1274" spans="1:10" x14ac:dyDescent="0.25">
      <c r="A1274" s="43" t="s">
        <v>24</v>
      </c>
      <c r="B1274" s="83"/>
      <c r="C1274" s="83"/>
      <c r="D1274" s="84" t="s">
        <v>3</v>
      </c>
      <c r="E1274" s="85" t="s">
        <v>25</v>
      </c>
      <c r="F1274" s="85"/>
      <c r="G1274" s="85"/>
      <c r="H1274" s="86"/>
      <c r="I1274" s="87" t="s">
        <v>1911</v>
      </c>
      <c r="J1274" s="44"/>
    </row>
    <row r="1275" spans="1:10" ht="26.4" x14ac:dyDescent="0.25">
      <c r="A1275" s="51"/>
      <c r="B1275" s="83"/>
      <c r="C1275" s="83"/>
      <c r="D1275" s="84" t="s">
        <v>837</v>
      </c>
      <c r="E1275" s="85">
        <f>2</f>
        <v>2</v>
      </c>
      <c r="F1275" s="85"/>
      <c r="G1275" s="85"/>
      <c r="H1275" s="85"/>
      <c r="I1275" s="88">
        <v>2</v>
      </c>
      <c r="J1275" s="44" t="s">
        <v>27</v>
      </c>
    </row>
    <row r="1276" spans="1:10" ht="39.6" x14ac:dyDescent="0.25">
      <c r="A1276" s="39" t="s">
        <v>1137</v>
      </c>
      <c r="B1276" s="16" t="s">
        <v>1064</v>
      </c>
      <c r="C1276" s="16" t="s">
        <v>21</v>
      </c>
      <c r="D1276" s="17" t="s">
        <v>1065</v>
      </c>
      <c r="E1276" s="16" t="s">
        <v>588</v>
      </c>
      <c r="F1276" s="27">
        <v>2</v>
      </c>
      <c r="G1276" s="67">
        <v>25.26</v>
      </c>
      <c r="H1276" s="67">
        <v>30.46</v>
      </c>
      <c r="I1276" s="18">
        <v>60.92</v>
      </c>
      <c r="J1276" s="40">
        <v>3.4805231490017423E-6</v>
      </c>
    </row>
    <row r="1277" spans="1:10" x14ac:dyDescent="0.25">
      <c r="A1277" s="43" t="s">
        <v>24</v>
      </c>
      <c r="B1277" s="83"/>
      <c r="C1277" s="83"/>
      <c r="D1277" s="84" t="s">
        <v>3</v>
      </c>
      <c r="E1277" s="85" t="s">
        <v>25</v>
      </c>
      <c r="F1277" s="85"/>
      <c r="G1277" s="85"/>
      <c r="H1277" s="86"/>
      <c r="I1277" s="87" t="s">
        <v>1911</v>
      </c>
      <c r="J1277" s="44"/>
    </row>
    <row r="1278" spans="1:10" ht="26.4" x14ac:dyDescent="0.25">
      <c r="A1278" s="51"/>
      <c r="B1278" s="83"/>
      <c r="C1278" s="83"/>
      <c r="D1278" s="84" t="s">
        <v>837</v>
      </c>
      <c r="E1278" s="85">
        <f>2</f>
        <v>2</v>
      </c>
      <c r="F1278" s="85"/>
      <c r="G1278" s="85"/>
      <c r="H1278" s="85"/>
      <c r="I1278" s="88">
        <v>2</v>
      </c>
      <c r="J1278" s="44" t="s">
        <v>27</v>
      </c>
    </row>
    <row r="1279" spans="1:10" ht="39.6" x14ac:dyDescent="0.25">
      <c r="A1279" s="39" t="s">
        <v>1138</v>
      </c>
      <c r="B1279" s="16" t="s">
        <v>1139</v>
      </c>
      <c r="C1279" s="16" t="s">
        <v>21</v>
      </c>
      <c r="D1279" s="17" t="s">
        <v>1140</v>
      </c>
      <c r="E1279" s="16" t="s">
        <v>588</v>
      </c>
      <c r="F1279" s="27">
        <v>2</v>
      </c>
      <c r="G1279" s="67">
        <v>35.69</v>
      </c>
      <c r="H1279" s="67">
        <v>43.04</v>
      </c>
      <c r="I1279" s="18">
        <v>86.08</v>
      </c>
      <c r="J1279" s="40">
        <v>4.9179814948468476E-6</v>
      </c>
    </row>
    <row r="1280" spans="1:10" x14ac:dyDescent="0.25">
      <c r="A1280" s="43" t="s">
        <v>24</v>
      </c>
      <c r="B1280" s="83"/>
      <c r="C1280" s="83"/>
      <c r="D1280" s="84" t="s">
        <v>3</v>
      </c>
      <c r="E1280" s="85" t="s">
        <v>25</v>
      </c>
      <c r="F1280" s="85"/>
      <c r="G1280" s="85"/>
      <c r="H1280" s="86"/>
      <c r="I1280" s="87" t="s">
        <v>1911</v>
      </c>
      <c r="J1280" s="44"/>
    </row>
    <row r="1281" spans="1:10" ht="26.4" x14ac:dyDescent="0.25">
      <c r="A1281" s="51"/>
      <c r="B1281" s="83"/>
      <c r="C1281" s="83"/>
      <c r="D1281" s="84" t="s">
        <v>837</v>
      </c>
      <c r="E1281" s="85">
        <f>2</f>
        <v>2</v>
      </c>
      <c r="F1281" s="85"/>
      <c r="G1281" s="85"/>
      <c r="H1281" s="85"/>
      <c r="I1281" s="88">
        <v>2</v>
      </c>
      <c r="J1281" s="44" t="s">
        <v>27</v>
      </c>
    </row>
    <row r="1282" spans="1:10" ht="39.6" x14ac:dyDescent="0.25">
      <c r="A1282" s="39" t="s">
        <v>1141</v>
      </c>
      <c r="B1282" s="16" t="s">
        <v>1142</v>
      </c>
      <c r="C1282" s="16" t="s">
        <v>21</v>
      </c>
      <c r="D1282" s="17" t="s">
        <v>1143</v>
      </c>
      <c r="E1282" s="16" t="s">
        <v>588</v>
      </c>
      <c r="F1282" s="27">
        <v>20</v>
      </c>
      <c r="G1282" s="67">
        <v>7.69</v>
      </c>
      <c r="H1282" s="67">
        <v>9.27</v>
      </c>
      <c r="I1282" s="18">
        <v>185.4</v>
      </c>
      <c r="J1282" s="40">
        <v>1.059239973448659E-5</v>
      </c>
    </row>
    <row r="1283" spans="1:10" x14ac:dyDescent="0.25">
      <c r="A1283" s="43" t="s">
        <v>24</v>
      </c>
      <c r="B1283" s="83"/>
      <c r="C1283" s="83"/>
      <c r="D1283" s="84" t="s">
        <v>3</v>
      </c>
      <c r="E1283" s="85" t="s">
        <v>25</v>
      </c>
      <c r="F1283" s="85"/>
      <c r="G1283" s="85"/>
      <c r="H1283" s="86"/>
      <c r="I1283" s="87" t="s">
        <v>1911</v>
      </c>
      <c r="J1283" s="44"/>
    </row>
    <row r="1284" spans="1:10" ht="26.4" x14ac:dyDescent="0.25">
      <c r="A1284" s="51"/>
      <c r="B1284" s="83"/>
      <c r="C1284" s="83"/>
      <c r="D1284" s="84" t="s">
        <v>837</v>
      </c>
      <c r="E1284" s="85">
        <f>20</f>
        <v>20</v>
      </c>
      <c r="F1284" s="85"/>
      <c r="G1284" s="85"/>
      <c r="H1284" s="85"/>
      <c r="I1284" s="88">
        <v>20</v>
      </c>
      <c r="J1284" s="44" t="s">
        <v>27</v>
      </c>
    </row>
    <row r="1285" spans="1:10" ht="39.6" x14ac:dyDescent="0.25">
      <c r="A1285" s="39" t="s">
        <v>1144</v>
      </c>
      <c r="B1285" s="16" t="s">
        <v>1145</v>
      </c>
      <c r="C1285" s="16" t="s">
        <v>21</v>
      </c>
      <c r="D1285" s="17" t="s">
        <v>1146</v>
      </c>
      <c r="E1285" s="16" t="s">
        <v>588</v>
      </c>
      <c r="F1285" s="27">
        <v>27</v>
      </c>
      <c r="G1285" s="67">
        <v>12.45</v>
      </c>
      <c r="H1285" s="67">
        <v>15.01</v>
      </c>
      <c r="I1285" s="18">
        <v>405.27</v>
      </c>
      <c r="J1285" s="40">
        <v>2.3154163108928696E-5</v>
      </c>
    </row>
    <row r="1286" spans="1:10" x14ac:dyDescent="0.25">
      <c r="A1286" s="43" t="s">
        <v>24</v>
      </c>
      <c r="B1286" s="83"/>
      <c r="C1286" s="83"/>
      <c r="D1286" s="84" t="s">
        <v>3</v>
      </c>
      <c r="E1286" s="85" t="s">
        <v>25</v>
      </c>
      <c r="F1286" s="85"/>
      <c r="G1286" s="85"/>
      <c r="H1286" s="86"/>
      <c r="I1286" s="87" t="s">
        <v>1911</v>
      </c>
      <c r="J1286" s="44"/>
    </row>
    <row r="1287" spans="1:10" ht="26.4" x14ac:dyDescent="0.25">
      <c r="A1287" s="51"/>
      <c r="B1287" s="83"/>
      <c r="C1287" s="83"/>
      <c r="D1287" s="84" t="s">
        <v>837</v>
      </c>
      <c r="E1287" s="85">
        <f>27</f>
        <v>27</v>
      </c>
      <c r="F1287" s="85"/>
      <c r="G1287" s="85"/>
      <c r="H1287" s="85"/>
      <c r="I1287" s="88">
        <v>27</v>
      </c>
      <c r="J1287" s="44" t="s">
        <v>27</v>
      </c>
    </row>
    <row r="1288" spans="1:10" ht="39.6" x14ac:dyDescent="0.25">
      <c r="A1288" s="39" t="s">
        <v>1147</v>
      </c>
      <c r="B1288" s="16" t="s">
        <v>1148</v>
      </c>
      <c r="C1288" s="16" t="s">
        <v>21</v>
      </c>
      <c r="D1288" s="17" t="s">
        <v>1149</v>
      </c>
      <c r="E1288" s="16" t="s">
        <v>588</v>
      </c>
      <c r="F1288" s="27">
        <v>296</v>
      </c>
      <c r="G1288" s="67">
        <v>15.18</v>
      </c>
      <c r="H1288" s="67">
        <v>18.3</v>
      </c>
      <c r="I1288" s="18">
        <v>5416.8</v>
      </c>
      <c r="J1288" s="40">
        <v>3.0947632622312272E-4</v>
      </c>
    </row>
    <row r="1289" spans="1:10" x14ac:dyDescent="0.25">
      <c r="A1289" s="43" t="s">
        <v>24</v>
      </c>
      <c r="B1289" s="83"/>
      <c r="C1289" s="83"/>
      <c r="D1289" s="84" t="s">
        <v>3</v>
      </c>
      <c r="E1289" s="85" t="s">
        <v>25</v>
      </c>
      <c r="F1289" s="85"/>
      <c r="G1289" s="85"/>
      <c r="H1289" s="86"/>
      <c r="I1289" s="87" t="s">
        <v>1911</v>
      </c>
      <c r="J1289" s="44"/>
    </row>
    <row r="1290" spans="1:10" ht="26.4" x14ac:dyDescent="0.25">
      <c r="A1290" s="51"/>
      <c r="B1290" s="83"/>
      <c r="C1290" s="83"/>
      <c r="D1290" s="84" t="s">
        <v>837</v>
      </c>
      <c r="E1290" s="85">
        <f>296</f>
        <v>296</v>
      </c>
      <c r="F1290" s="85"/>
      <c r="G1290" s="85"/>
      <c r="H1290" s="85"/>
      <c r="I1290" s="88">
        <v>296</v>
      </c>
      <c r="J1290" s="44" t="s">
        <v>27</v>
      </c>
    </row>
    <row r="1291" spans="1:10" x14ac:dyDescent="0.25">
      <c r="A1291" s="39" t="s">
        <v>1150</v>
      </c>
      <c r="B1291" s="16" t="s">
        <v>1151</v>
      </c>
      <c r="C1291" s="16" t="s">
        <v>56</v>
      </c>
      <c r="D1291" s="17" t="s">
        <v>1152</v>
      </c>
      <c r="E1291" s="16" t="s">
        <v>1083</v>
      </c>
      <c r="F1291" s="27">
        <v>33</v>
      </c>
      <c r="G1291" s="67">
        <v>101.25</v>
      </c>
      <c r="H1291" s="67">
        <v>122.1</v>
      </c>
      <c r="I1291" s="18">
        <v>4029.3</v>
      </c>
      <c r="J1291" s="40">
        <v>2.3020472626842942E-4</v>
      </c>
    </row>
    <row r="1292" spans="1:10" x14ac:dyDescent="0.25">
      <c r="A1292" s="43" t="s">
        <v>24</v>
      </c>
      <c r="B1292" s="83"/>
      <c r="C1292" s="83"/>
      <c r="D1292" s="84" t="s">
        <v>3</v>
      </c>
      <c r="E1292" s="85" t="s">
        <v>25</v>
      </c>
      <c r="F1292" s="85"/>
      <c r="G1292" s="85"/>
      <c r="H1292" s="86"/>
      <c r="I1292" s="87" t="s">
        <v>1911</v>
      </c>
      <c r="J1292" s="44"/>
    </row>
    <row r="1293" spans="1:10" ht="26.4" x14ac:dyDescent="0.25">
      <c r="A1293" s="51"/>
      <c r="B1293" s="83"/>
      <c r="C1293" s="83"/>
      <c r="D1293" s="84" t="s">
        <v>837</v>
      </c>
      <c r="E1293" s="85">
        <f>33</f>
        <v>33</v>
      </c>
      <c r="F1293" s="85"/>
      <c r="G1293" s="85"/>
      <c r="H1293" s="85"/>
      <c r="I1293" s="88">
        <v>33</v>
      </c>
      <c r="J1293" s="44" t="s">
        <v>27</v>
      </c>
    </row>
    <row r="1294" spans="1:10" x14ac:dyDescent="0.25">
      <c r="A1294" s="41" t="s">
        <v>1153</v>
      </c>
      <c r="B1294" s="13"/>
      <c r="C1294" s="13"/>
      <c r="D1294" s="14" t="s">
        <v>1154</v>
      </c>
      <c r="E1294" s="14"/>
      <c r="F1294" s="26">
        <v>1</v>
      </c>
      <c r="G1294" s="66"/>
      <c r="H1294" s="66"/>
      <c r="I1294" s="15">
        <v>209912.44</v>
      </c>
      <c r="J1294" s="42">
        <v>1.1992861239058425E-2</v>
      </c>
    </row>
    <row r="1295" spans="1:10" ht="39.6" x14ac:dyDescent="0.25">
      <c r="A1295" s="39" t="s">
        <v>1155</v>
      </c>
      <c r="B1295" s="16" t="s">
        <v>1156</v>
      </c>
      <c r="C1295" s="16" t="s">
        <v>21</v>
      </c>
      <c r="D1295" s="17" t="s">
        <v>1157</v>
      </c>
      <c r="E1295" s="16" t="s">
        <v>52</v>
      </c>
      <c r="F1295" s="27">
        <v>96.99</v>
      </c>
      <c r="G1295" s="67">
        <v>76.260000000000005</v>
      </c>
      <c r="H1295" s="67">
        <v>91.96</v>
      </c>
      <c r="I1295" s="18">
        <v>8919.2000000000007</v>
      </c>
      <c r="J1295" s="40">
        <v>5.0957784094839685E-4</v>
      </c>
    </row>
    <row r="1296" spans="1:10" x14ac:dyDescent="0.25">
      <c r="A1296" s="43" t="s">
        <v>24</v>
      </c>
      <c r="B1296" s="83"/>
      <c r="C1296" s="83"/>
      <c r="D1296" s="84" t="s">
        <v>3</v>
      </c>
      <c r="E1296" s="85" t="s">
        <v>25</v>
      </c>
      <c r="F1296" s="85"/>
      <c r="G1296" s="85"/>
      <c r="H1296" s="86"/>
      <c r="I1296" s="87" t="s">
        <v>1911</v>
      </c>
      <c r="J1296" s="44"/>
    </row>
    <row r="1297" spans="1:10" ht="26.4" x14ac:dyDescent="0.25">
      <c r="A1297" s="51"/>
      <c r="B1297" s="83"/>
      <c r="C1297" s="83"/>
      <c r="D1297" s="84" t="s">
        <v>837</v>
      </c>
      <c r="E1297" s="85">
        <f>96.99</f>
        <v>96.99</v>
      </c>
      <c r="F1297" s="85"/>
      <c r="G1297" s="85"/>
      <c r="H1297" s="85"/>
      <c r="I1297" s="88">
        <v>96.99</v>
      </c>
      <c r="J1297" s="44" t="s">
        <v>27</v>
      </c>
    </row>
    <row r="1298" spans="1:10" ht="39.6" x14ac:dyDescent="0.25">
      <c r="A1298" s="39" t="s">
        <v>1158</v>
      </c>
      <c r="B1298" s="16" t="s">
        <v>1159</v>
      </c>
      <c r="C1298" s="16" t="s">
        <v>21</v>
      </c>
      <c r="D1298" s="17" t="s">
        <v>1160</v>
      </c>
      <c r="E1298" s="16" t="s">
        <v>52</v>
      </c>
      <c r="F1298" s="27">
        <v>365.1</v>
      </c>
      <c r="G1298" s="67">
        <v>146.97</v>
      </c>
      <c r="H1298" s="67">
        <v>177.24</v>
      </c>
      <c r="I1298" s="18">
        <v>64710.32</v>
      </c>
      <c r="J1298" s="40">
        <v>3.6970743062920293E-3</v>
      </c>
    </row>
    <row r="1299" spans="1:10" x14ac:dyDescent="0.25">
      <c r="A1299" s="43" t="s">
        <v>24</v>
      </c>
      <c r="B1299" s="83"/>
      <c r="C1299" s="83"/>
      <c r="D1299" s="84" t="s">
        <v>3</v>
      </c>
      <c r="E1299" s="85" t="s">
        <v>25</v>
      </c>
      <c r="F1299" s="85"/>
      <c r="G1299" s="85"/>
      <c r="H1299" s="86"/>
      <c r="I1299" s="87" t="s">
        <v>1911</v>
      </c>
      <c r="J1299" s="44"/>
    </row>
    <row r="1300" spans="1:10" ht="26.4" x14ac:dyDescent="0.25">
      <c r="A1300" s="51"/>
      <c r="B1300" s="83"/>
      <c r="C1300" s="83"/>
      <c r="D1300" s="84" t="s">
        <v>837</v>
      </c>
      <c r="E1300" s="85">
        <f>365.1</f>
        <v>365.1</v>
      </c>
      <c r="F1300" s="85"/>
      <c r="G1300" s="85"/>
      <c r="H1300" s="85"/>
      <c r="I1300" s="88">
        <v>365.1</v>
      </c>
      <c r="J1300" s="44" t="s">
        <v>27</v>
      </c>
    </row>
    <row r="1301" spans="1:10" ht="26.4" x14ac:dyDescent="0.25">
      <c r="A1301" s="39" t="s">
        <v>1161</v>
      </c>
      <c r="B1301" s="16" t="s">
        <v>1162</v>
      </c>
      <c r="C1301" s="16" t="s">
        <v>21</v>
      </c>
      <c r="D1301" s="17" t="s">
        <v>1163</v>
      </c>
      <c r="E1301" s="16" t="s">
        <v>52</v>
      </c>
      <c r="F1301" s="27">
        <v>107.98</v>
      </c>
      <c r="G1301" s="67">
        <v>195.26</v>
      </c>
      <c r="H1301" s="67">
        <v>235.48</v>
      </c>
      <c r="I1301" s="18">
        <v>25427.13</v>
      </c>
      <c r="J1301" s="40">
        <v>1.4527201998962027E-3</v>
      </c>
    </row>
    <row r="1302" spans="1:10" x14ac:dyDescent="0.25">
      <c r="A1302" s="43" t="s">
        <v>24</v>
      </c>
      <c r="B1302" s="83"/>
      <c r="C1302" s="83"/>
      <c r="D1302" s="84" t="s">
        <v>3</v>
      </c>
      <c r="E1302" s="85" t="s">
        <v>25</v>
      </c>
      <c r="F1302" s="85"/>
      <c r="G1302" s="85"/>
      <c r="H1302" s="86"/>
      <c r="I1302" s="87" t="s">
        <v>1911</v>
      </c>
      <c r="J1302" s="44"/>
    </row>
    <row r="1303" spans="1:10" ht="26.4" x14ac:dyDescent="0.25">
      <c r="A1303" s="51"/>
      <c r="B1303" s="83"/>
      <c r="C1303" s="83"/>
      <c r="D1303" s="84" t="s">
        <v>837</v>
      </c>
      <c r="E1303" s="85">
        <f>107.98</f>
        <v>107.98</v>
      </c>
      <c r="F1303" s="85"/>
      <c r="G1303" s="85"/>
      <c r="H1303" s="85"/>
      <c r="I1303" s="88">
        <v>107.98</v>
      </c>
      <c r="J1303" s="44" t="s">
        <v>27</v>
      </c>
    </row>
    <row r="1304" spans="1:10" ht="39.6" x14ac:dyDescent="0.25">
      <c r="A1304" s="39" t="s">
        <v>1164</v>
      </c>
      <c r="B1304" s="16" t="s">
        <v>1165</v>
      </c>
      <c r="C1304" s="16" t="s">
        <v>21</v>
      </c>
      <c r="D1304" s="17" t="s">
        <v>1166</v>
      </c>
      <c r="E1304" s="16" t="s">
        <v>588</v>
      </c>
      <c r="F1304" s="27">
        <v>28</v>
      </c>
      <c r="G1304" s="67">
        <v>508.61</v>
      </c>
      <c r="H1304" s="67">
        <v>613.38</v>
      </c>
      <c r="I1304" s="18">
        <v>17174.64</v>
      </c>
      <c r="J1304" s="40">
        <v>9.8123329113216154E-4</v>
      </c>
    </row>
    <row r="1305" spans="1:10" x14ac:dyDescent="0.25">
      <c r="A1305" s="43" t="s">
        <v>24</v>
      </c>
      <c r="B1305" s="83"/>
      <c r="C1305" s="83"/>
      <c r="D1305" s="84" t="s">
        <v>3</v>
      </c>
      <c r="E1305" s="85" t="s">
        <v>25</v>
      </c>
      <c r="F1305" s="85"/>
      <c r="G1305" s="85"/>
      <c r="H1305" s="86"/>
      <c r="I1305" s="87" t="s">
        <v>1911</v>
      </c>
      <c r="J1305" s="44"/>
    </row>
    <row r="1306" spans="1:10" ht="26.4" x14ac:dyDescent="0.25">
      <c r="A1306" s="51"/>
      <c r="B1306" s="83"/>
      <c r="C1306" s="83"/>
      <c r="D1306" s="84" t="s">
        <v>837</v>
      </c>
      <c r="E1306" s="85">
        <f>28</f>
        <v>28</v>
      </c>
      <c r="F1306" s="85"/>
      <c r="G1306" s="85"/>
      <c r="H1306" s="85"/>
      <c r="I1306" s="88">
        <v>28</v>
      </c>
      <c r="J1306" s="44" t="s">
        <v>27</v>
      </c>
    </row>
    <row r="1307" spans="1:10" ht="39.6" x14ac:dyDescent="0.25">
      <c r="A1307" s="39" t="s">
        <v>1167</v>
      </c>
      <c r="B1307" s="16" t="s">
        <v>1168</v>
      </c>
      <c r="C1307" s="16" t="s">
        <v>21</v>
      </c>
      <c r="D1307" s="17" t="s">
        <v>1169</v>
      </c>
      <c r="E1307" s="16" t="s">
        <v>588</v>
      </c>
      <c r="F1307" s="27">
        <v>24</v>
      </c>
      <c r="G1307" s="67">
        <v>709.84</v>
      </c>
      <c r="H1307" s="67">
        <v>856.06</v>
      </c>
      <c r="I1307" s="18">
        <v>20545.439999999999</v>
      </c>
      <c r="J1307" s="40">
        <v>1.1738161445572284E-3</v>
      </c>
    </row>
    <row r="1308" spans="1:10" x14ac:dyDescent="0.25">
      <c r="A1308" s="43" t="s">
        <v>24</v>
      </c>
      <c r="B1308" s="83"/>
      <c r="C1308" s="83"/>
      <c r="D1308" s="84" t="s">
        <v>3</v>
      </c>
      <c r="E1308" s="85" t="s">
        <v>25</v>
      </c>
      <c r="F1308" s="85"/>
      <c r="G1308" s="85"/>
      <c r="H1308" s="86"/>
      <c r="I1308" s="87" t="s">
        <v>1911</v>
      </c>
      <c r="J1308" s="44"/>
    </row>
    <row r="1309" spans="1:10" ht="26.4" x14ac:dyDescent="0.25">
      <c r="A1309" s="51"/>
      <c r="B1309" s="83"/>
      <c r="C1309" s="83"/>
      <c r="D1309" s="84" t="s">
        <v>837</v>
      </c>
      <c r="E1309" s="85">
        <f>24</f>
        <v>24</v>
      </c>
      <c r="F1309" s="85"/>
      <c r="G1309" s="85"/>
      <c r="H1309" s="85"/>
      <c r="I1309" s="88">
        <v>24</v>
      </c>
      <c r="J1309" s="44" t="s">
        <v>27</v>
      </c>
    </row>
    <row r="1310" spans="1:10" ht="26.4" x14ac:dyDescent="0.25">
      <c r="A1310" s="39" t="s">
        <v>1170</v>
      </c>
      <c r="B1310" s="16" t="s">
        <v>1171</v>
      </c>
      <c r="C1310" s="16" t="s">
        <v>56</v>
      </c>
      <c r="D1310" s="17" t="s">
        <v>1172</v>
      </c>
      <c r="E1310" s="16" t="s">
        <v>1083</v>
      </c>
      <c r="F1310" s="27">
        <v>8</v>
      </c>
      <c r="G1310" s="67">
        <v>1192.79</v>
      </c>
      <c r="H1310" s="67">
        <v>1438.5</v>
      </c>
      <c r="I1310" s="18">
        <v>11508</v>
      </c>
      <c r="J1310" s="40">
        <v>6.5748293497557529E-4</v>
      </c>
    </row>
    <row r="1311" spans="1:10" x14ac:dyDescent="0.25">
      <c r="A1311" s="43" t="s">
        <v>24</v>
      </c>
      <c r="B1311" s="83"/>
      <c r="C1311" s="83"/>
      <c r="D1311" s="84" t="s">
        <v>3</v>
      </c>
      <c r="E1311" s="85" t="s">
        <v>25</v>
      </c>
      <c r="F1311" s="85"/>
      <c r="G1311" s="85"/>
      <c r="H1311" s="86"/>
      <c r="I1311" s="87" t="s">
        <v>1911</v>
      </c>
      <c r="J1311" s="44"/>
    </row>
    <row r="1312" spans="1:10" ht="26.4" x14ac:dyDescent="0.25">
      <c r="A1312" s="51"/>
      <c r="B1312" s="83"/>
      <c r="C1312" s="83"/>
      <c r="D1312" s="84" t="s">
        <v>837</v>
      </c>
      <c r="E1312" s="85">
        <f>8</f>
        <v>8</v>
      </c>
      <c r="F1312" s="85"/>
      <c r="G1312" s="85"/>
      <c r="H1312" s="85"/>
      <c r="I1312" s="88">
        <v>8</v>
      </c>
      <c r="J1312" s="44" t="s">
        <v>27</v>
      </c>
    </row>
    <row r="1313" spans="1:10" x14ac:dyDescent="0.25">
      <c r="A1313" s="39" t="s">
        <v>1173</v>
      </c>
      <c r="B1313" s="16" t="s">
        <v>1174</v>
      </c>
      <c r="C1313" s="16" t="s">
        <v>43</v>
      </c>
      <c r="D1313" s="17" t="s">
        <v>1175</v>
      </c>
      <c r="E1313" s="16" t="s">
        <v>23</v>
      </c>
      <c r="F1313" s="27">
        <v>4.8</v>
      </c>
      <c r="G1313" s="67">
        <v>175.82</v>
      </c>
      <c r="H1313" s="67">
        <v>212.03</v>
      </c>
      <c r="I1313" s="18">
        <v>1017.74</v>
      </c>
      <c r="J1313" s="40">
        <v>5.814621847775826E-5</v>
      </c>
    </row>
    <row r="1314" spans="1:10" x14ac:dyDescent="0.25">
      <c r="A1314" s="43" t="s">
        <v>24</v>
      </c>
      <c r="B1314" s="83"/>
      <c r="C1314" s="83"/>
      <c r="D1314" s="84" t="s">
        <v>3</v>
      </c>
      <c r="E1314" s="85" t="s">
        <v>25</v>
      </c>
      <c r="F1314" s="85"/>
      <c r="G1314" s="85"/>
      <c r="H1314" s="86"/>
      <c r="I1314" s="87" t="s">
        <v>1911</v>
      </c>
      <c r="J1314" s="44"/>
    </row>
    <row r="1315" spans="1:10" ht="26.4" x14ac:dyDescent="0.25">
      <c r="A1315" s="51"/>
      <c r="B1315" s="83"/>
      <c r="C1315" s="83"/>
      <c r="D1315" s="84" t="s">
        <v>837</v>
      </c>
      <c r="E1315" s="85">
        <f>4.8</f>
        <v>4.8</v>
      </c>
      <c r="F1315" s="85"/>
      <c r="G1315" s="85"/>
      <c r="H1315" s="85"/>
      <c r="I1315" s="88">
        <v>4.8</v>
      </c>
      <c r="J1315" s="44" t="s">
        <v>27</v>
      </c>
    </row>
    <row r="1316" spans="1:10" ht="26.4" x14ac:dyDescent="0.25">
      <c r="A1316" s="39" t="s">
        <v>1176</v>
      </c>
      <c r="B1316" s="16" t="s">
        <v>1177</v>
      </c>
      <c r="C1316" s="16" t="s">
        <v>21</v>
      </c>
      <c r="D1316" s="17" t="s">
        <v>1178</v>
      </c>
      <c r="E1316" s="16" t="s">
        <v>23</v>
      </c>
      <c r="F1316" s="27">
        <v>136.05000000000001</v>
      </c>
      <c r="G1316" s="67">
        <v>42.76</v>
      </c>
      <c r="H1316" s="67">
        <v>51.56</v>
      </c>
      <c r="I1316" s="18">
        <v>7014.73</v>
      </c>
      <c r="J1316" s="40">
        <v>4.0077035700914301E-4</v>
      </c>
    </row>
    <row r="1317" spans="1:10" x14ac:dyDescent="0.25">
      <c r="A1317" s="43" t="s">
        <v>24</v>
      </c>
      <c r="B1317" s="83"/>
      <c r="C1317" s="83"/>
      <c r="D1317" s="84" t="s">
        <v>3</v>
      </c>
      <c r="E1317" s="85" t="s">
        <v>25</v>
      </c>
      <c r="F1317" s="85"/>
      <c r="G1317" s="85"/>
      <c r="H1317" s="86"/>
      <c r="I1317" s="87" t="s">
        <v>1911</v>
      </c>
      <c r="J1317" s="44"/>
    </row>
    <row r="1318" spans="1:10" ht="26.4" x14ac:dyDescent="0.25">
      <c r="A1318" s="51"/>
      <c r="B1318" s="83"/>
      <c r="C1318" s="83"/>
      <c r="D1318" s="84" t="s">
        <v>1179</v>
      </c>
      <c r="E1318" s="85">
        <f>136.05</f>
        <v>136.05000000000001</v>
      </c>
      <c r="F1318" s="85"/>
      <c r="G1318" s="85"/>
      <c r="H1318" s="85"/>
      <c r="I1318" s="88">
        <v>136.05000000000001</v>
      </c>
      <c r="J1318" s="44" t="s">
        <v>27</v>
      </c>
    </row>
    <row r="1319" spans="1:10" ht="26.4" x14ac:dyDescent="0.25">
      <c r="A1319" s="39" t="s">
        <v>1180</v>
      </c>
      <c r="B1319" s="16" t="s">
        <v>145</v>
      </c>
      <c r="C1319" s="16" t="s">
        <v>21</v>
      </c>
      <c r="D1319" s="17" t="s">
        <v>146</v>
      </c>
      <c r="E1319" s="16" t="s">
        <v>23</v>
      </c>
      <c r="F1319" s="27">
        <v>827.19</v>
      </c>
      <c r="G1319" s="67">
        <v>47.42</v>
      </c>
      <c r="H1319" s="67">
        <v>57.18</v>
      </c>
      <c r="I1319" s="18">
        <v>47298.720000000001</v>
      </c>
      <c r="J1319" s="40">
        <v>2.7023028542047223E-3</v>
      </c>
    </row>
    <row r="1320" spans="1:10" x14ac:dyDescent="0.25">
      <c r="A1320" s="43" t="s">
        <v>24</v>
      </c>
      <c r="B1320" s="83"/>
      <c r="C1320" s="83"/>
      <c r="D1320" s="84" t="s">
        <v>3</v>
      </c>
      <c r="E1320" s="85" t="s">
        <v>25</v>
      </c>
      <c r="F1320" s="85"/>
      <c r="G1320" s="85"/>
      <c r="H1320" s="86"/>
      <c r="I1320" s="87" t="s">
        <v>1911</v>
      </c>
      <c r="J1320" s="44"/>
    </row>
    <row r="1321" spans="1:10" ht="26.4" x14ac:dyDescent="0.25">
      <c r="A1321" s="51"/>
      <c r="B1321" s="83"/>
      <c r="C1321" s="83"/>
      <c r="D1321" s="84" t="s">
        <v>1181</v>
      </c>
      <c r="E1321" s="85">
        <f>96.99</f>
        <v>96.99</v>
      </c>
      <c r="F1321" s="85"/>
      <c r="G1321" s="85"/>
      <c r="H1321" s="85"/>
      <c r="I1321" s="88">
        <v>96.99</v>
      </c>
      <c r="J1321" s="44" t="s">
        <v>27</v>
      </c>
    </row>
    <row r="1322" spans="1:10" ht="26.4" x14ac:dyDescent="0.25">
      <c r="A1322" s="51"/>
      <c r="B1322" s="83"/>
      <c r="C1322" s="83"/>
      <c r="D1322" s="84" t="s">
        <v>1182</v>
      </c>
      <c r="E1322" s="85">
        <f>730.2</f>
        <v>730.2</v>
      </c>
      <c r="F1322" s="85"/>
      <c r="G1322" s="85"/>
      <c r="H1322" s="85"/>
      <c r="I1322" s="88">
        <v>730.2</v>
      </c>
      <c r="J1322" s="44" t="s">
        <v>27</v>
      </c>
    </row>
    <row r="1323" spans="1:10" x14ac:dyDescent="0.25">
      <c r="A1323" s="39" t="s">
        <v>1183</v>
      </c>
      <c r="B1323" s="16" t="s">
        <v>1184</v>
      </c>
      <c r="C1323" s="16" t="s">
        <v>582</v>
      </c>
      <c r="D1323" s="17" t="s">
        <v>1185</v>
      </c>
      <c r="E1323" s="16" t="s">
        <v>23</v>
      </c>
      <c r="F1323" s="27">
        <v>86.384</v>
      </c>
      <c r="G1323" s="67">
        <v>60.44</v>
      </c>
      <c r="H1323" s="67">
        <v>72.89</v>
      </c>
      <c r="I1323" s="18">
        <v>6296.52</v>
      </c>
      <c r="J1323" s="40">
        <v>3.5973709156520762E-4</v>
      </c>
    </row>
    <row r="1324" spans="1:10" x14ac:dyDescent="0.25">
      <c r="A1324" s="43" t="s">
        <v>24</v>
      </c>
      <c r="B1324" s="83"/>
      <c r="C1324" s="83"/>
      <c r="D1324" s="84" t="s">
        <v>3</v>
      </c>
      <c r="E1324" s="85" t="s">
        <v>25</v>
      </c>
      <c r="F1324" s="85"/>
      <c r="G1324" s="85"/>
      <c r="H1324" s="86"/>
      <c r="I1324" s="87" t="s">
        <v>1911</v>
      </c>
      <c r="J1324" s="44"/>
    </row>
    <row r="1325" spans="1:10" ht="26.4" x14ac:dyDescent="0.25">
      <c r="A1325" s="51"/>
      <c r="B1325" s="83"/>
      <c r="C1325" s="83"/>
      <c r="D1325" s="84" t="s">
        <v>1186</v>
      </c>
      <c r="E1325" s="85">
        <f>107.98*0.8</f>
        <v>86.384000000000015</v>
      </c>
      <c r="F1325" s="85"/>
      <c r="G1325" s="85"/>
      <c r="H1325" s="85"/>
      <c r="I1325" s="88">
        <v>86.384</v>
      </c>
      <c r="J1325" s="44" t="s">
        <v>27</v>
      </c>
    </row>
    <row r="1326" spans="1:10" x14ac:dyDescent="0.25">
      <c r="A1326" s="41" t="s">
        <v>1187</v>
      </c>
      <c r="B1326" s="13"/>
      <c r="C1326" s="13"/>
      <c r="D1326" s="14" t="s">
        <v>1188</v>
      </c>
      <c r="E1326" s="14"/>
      <c r="F1326" s="26">
        <v>1</v>
      </c>
      <c r="G1326" s="66"/>
      <c r="H1326" s="66"/>
      <c r="I1326" s="15">
        <v>94579.82</v>
      </c>
      <c r="J1326" s="42">
        <v>5.4035990305058759E-3</v>
      </c>
    </row>
    <row r="1327" spans="1:10" x14ac:dyDescent="0.25">
      <c r="A1327" s="41" t="s">
        <v>1189</v>
      </c>
      <c r="B1327" s="13"/>
      <c r="C1327" s="13"/>
      <c r="D1327" s="14" t="s">
        <v>973</v>
      </c>
      <c r="E1327" s="14"/>
      <c r="F1327" s="26">
        <v>1</v>
      </c>
      <c r="G1327" s="66"/>
      <c r="H1327" s="66"/>
      <c r="I1327" s="15">
        <v>69544.479999999996</v>
      </c>
      <c r="J1327" s="42">
        <v>3.9732628451294924E-3</v>
      </c>
    </row>
    <row r="1328" spans="1:10" ht="39.6" x14ac:dyDescent="0.25">
      <c r="A1328" s="39" t="s">
        <v>1190</v>
      </c>
      <c r="B1328" s="16" t="s">
        <v>1191</v>
      </c>
      <c r="C1328" s="16" t="s">
        <v>21</v>
      </c>
      <c r="D1328" s="17" t="s">
        <v>1192</v>
      </c>
      <c r="E1328" s="16" t="s">
        <v>52</v>
      </c>
      <c r="F1328" s="27">
        <v>111.64</v>
      </c>
      <c r="G1328" s="67">
        <v>18.100000000000001</v>
      </c>
      <c r="H1328" s="67">
        <v>21.82</v>
      </c>
      <c r="I1328" s="18">
        <v>2435.98</v>
      </c>
      <c r="J1328" s="40">
        <v>1.3917407715865503E-4</v>
      </c>
    </row>
    <row r="1329" spans="1:10" x14ac:dyDescent="0.25">
      <c r="A1329" s="43" t="s">
        <v>24</v>
      </c>
      <c r="B1329" s="83"/>
      <c r="C1329" s="83"/>
      <c r="D1329" s="84" t="s">
        <v>3</v>
      </c>
      <c r="E1329" s="85" t="s">
        <v>25</v>
      </c>
      <c r="F1329" s="85"/>
      <c r="G1329" s="85"/>
      <c r="H1329" s="86"/>
      <c r="I1329" s="87" t="s">
        <v>1911</v>
      </c>
      <c r="J1329" s="44"/>
    </row>
    <row r="1330" spans="1:10" ht="26.4" x14ac:dyDescent="0.25">
      <c r="A1330" s="51"/>
      <c r="B1330" s="83"/>
      <c r="C1330" s="83"/>
      <c r="D1330" s="84" t="s">
        <v>837</v>
      </c>
      <c r="E1330" s="85">
        <f>111.64</f>
        <v>111.64</v>
      </c>
      <c r="F1330" s="85"/>
      <c r="G1330" s="85"/>
      <c r="H1330" s="85"/>
      <c r="I1330" s="88">
        <v>111.64</v>
      </c>
      <c r="J1330" s="44" t="s">
        <v>27</v>
      </c>
    </row>
    <row r="1331" spans="1:10" ht="39.6" x14ac:dyDescent="0.25">
      <c r="A1331" s="39" t="s">
        <v>1193</v>
      </c>
      <c r="B1331" s="16" t="s">
        <v>1107</v>
      </c>
      <c r="C1331" s="16" t="s">
        <v>21</v>
      </c>
      <c r="D1331" s="17" t="s">
        <v>1108</v>
      </c>
      <c r="E1331" s="16" t="s">
        <v>52</v>
      </c>
      <c r="F1331" s="27">
        <v>147.94999999999999</v>
      </c>
      <c r="G1331" s="67">
        <v>22.39</v>
      </c>
      <c r="H1331" s="67">
        <v>27</v>
      </c>
      <c r="I1331" s="18">
        <v>3994.65</v>
      </c>
      <c r="J1331" s="40">
        <v>2.2822507874523652E-4</v>
      </c>
    </row>
    <row r="1332" spans="1:10" x14ac:dyDescent="0.25">
      <c r="A1332" s="43" t="s">
        <v>24</v>
      </c>
      <c r="B1332" s="83"/>
      <c r="C1332" s="83"/>
      <c r="D1332" s="84" t="s">
        <v>3</v>
      </c>
      <c r="E1332" s="85" t="s">
        <v>25</v>
      </c>
      <c r="F1332" s="85"/>
      <c r="G1332" s="85"/>
      <c r="H1332" s="86"/>
      <c r="I1332" s="87" t="s">
        <v>1911</v>
      </c>
      <c r="J1332" s="44"/>
    </row>
    <row r="1333" spans="1:10" ht="26.4" x14ac:dyDescent="0.25">
      <c r="A1333" s="51"/>
      <c r="B1333" s="83"/>
      <c r="C1333" s="83"/>
      <c r="D1333" s="84" t="s">
        <v>837</v>
      </c>
      <c r="E1333" s="85">
        <f>147.95</f>
        <v>147.94999999999999</v>
      </c>
      <c r="F1333" s="85"/>
      <c r="G1333" s="85"/>
      <c r="H1333" s="85"/>
      <c r="I1333" s="88">
        <v>147.94999999999999</v>
      </c>
      <c r="J1333" s="44" t="s">
        <v>27</v>
      </c>
    </row>
    <row r="1334" spans="1:10" ht="39.6" x14ac:dyDescent="0.25">
      <c r="A1334" s="39" t="s">
        <v>1194</v>
      </c>
      <c r="B1334" s="16" t="s">
        <v>1058</v>
      </c>
      <c r="C1334" s="16" t="s">
        <v>21</v>
      </c>
      <c r="D1334" s="17" t="s">
        <v>1059</v>
      </c>
      <c r="E1334" s="16" t="s">
        <v>52</v>
      </c>
      <c r="F1334" s="27">
        <v>340.71</v>
      </c>
      <c r="G1334" s="67">
        <v>31.2</v>
      </c>
      <c r="H1334" s="67">
        <v>37.619999999999997</v>
      </c>
      <c r="I1334" s="18">
        <v>12817.51</v>
      </c>
      <c r="J1334" s="40">
        <v>7.3229875685425672E-4</v>
      </c>
    </row>
    <row r="1335" spans="1:10" x14ac:dyDescent="0.25">
      <c r="A1335" s="43" t="s">
        <v>24</v>
      </c>
      <c r="B1335" s="83"/>
      <c r="C1335" s="83"/>
      <c r="D1335" s="84" t="s">
        <v>3</v>
      </c>
      <c r="E1335" s="85" t="s">
        <v>25</v>
      </c>
      <c r="F1335" s="85"/>
      <c r="G1335" s="85"/>
      <c r="H1335" s="86"/>
      <c r="I1335" s="87" t="s">
        <v>1911</v>
      </c>
      <c r="J1335" s="44"/>
    </row>
    <row r="1336" spans="1:10" ht="26.4" x14ac:dyDescent="0.25">
      <c r="A1336" s="51"/>
      <c r="B1336" s="83"/>
      <c r="C1336" s="83"/>
      <c r="D1336" s="84" t="s">
        <v>837</v>
      </c>
      <c r="E1336" s="85">
        <f>340.71</f>
        <v>340.71</v>
      </c>
      <c r="F1336" s="85"/>
      <c r="G1336" s="85"/>
      <c r="H1336" s="85"/>
      <c r="I1336" s="88">
        <v>340.71</v>
      </c>
      <c r="J1336" s="44" t="s">
        <v>27</v>
      </c>
    </row>
    <row r="1337" spans="1:10" ht="39.6" x14ac:dyDescent="0.25">
      <c r="A1337" s="39" t="s">
        <v>1195</v>
      </c>
      <c r="B1337" s="16" t="s">
        <v>1114</v>
      </c>
      <c r="C1337" s="16" t="s">
        <v>21</v>
      </c>
      <c r="D1337" s="17" t="s">
        <v>1115</v>
      </c>
      <c r="E1337" s="16" t="s">
        <v>52</v>
      </c>
      <c r="F1337" s="27">
        <v>221.2</v>
      </c>
      <c r="G1337" s="67">
        <v>42.94</v>
      </c>
      <c r="H1337" s="67">
        <v>51.78</v>
      </c>
      <c r="I1337" s="18">
        <v>11453.73</v>
      </c>
      <c r="J1337" s="40">
        <v>6.5438234417950956E-4</v>
      </c>
    </row>
    <row r="1338" spans="1:10" x14ac:dyDescent="0.25">
      <c r="A1338" s="43" t="s">
        <v>24</v>
      </c>
      <c r="B1338" s="83"/>
      <c r="C1338" s="83"/>
      <c r="D1338" s="84" t="s">
        <v>3</v>
      </c>
      <c r="E1338" s="85" t="s">
        <v>25</v>
      </c>
      <c r="F1338" s="85"/>
      <c r="G1338" s="85"/>
      <c r="H1338" s="86"/>
      <c r="I1338" s="87" t="s">
        <v>1911</v>
      </c>
      <c r="J1338" s="44"/>
    </row>
    <row r="1339" spans="1:10" ht="26.4" x14ac:dyDescent="0.25">
      <c r="A1339" s="51"/>
      <c r="B1339" s="83"/>
      <c r="C1339" s="83"/>
      <c r="D1339" s="84" t="s">
        <v>837</v>
      </c>
      <c r="E1339" s="85">
        <f>221.2</f>
        <v>221.2</v>
      </c>
      <c r="F1339" s="85"/>
      <c r="G1339" s="85"/>
      <c r="H1339" s="85"/>
      <c r="I1339" s="88">
        <v>221.2</v>
      </c>
      <c r="J1339" s="44" t="s">
        <v>27</v>
      </c>
    </row>
    <row r="1340" spans="1:10" x14ac:dyDescent="0.25">
      <c r="A1340" s="39" t="s">
        <v>1196</v>
      </c>
      <c r="B1340" s="16" t="s">
        <v>1197</v>
      </c>
      <c r="C1340" s="16" t="s">
        <v>56</v>
      </c>
      <c r="D1340" s="17" t="s">
        <v>1198</v>
      </c>
      <c r="E1340" s="16" t="s">
        <v>222</v>
      </c>
      <c r="F1340" s="27">
        <v>20.56</v>
      </c>
      <c r="G1340" s="67">
        <v>17.39</v>
      </c>
      <c r="H1340" s="67">
        <v>20.97</v>
      </c>
      <c r="I1340" s="18">
        <v>431.14</v>
      </c>
      <c r="J1340" s="40">
        <v>2.4632185660876742E-5</v>
      </c>
    </row>
    <row r="1341" spans="1:10" x14ac:dyDescent="0.25">
      <c r="A1341" s="43" t="s">
        <v>24</v>
      </c>
      <c r="B1341" s="83"/>
      <c r="C1341" s="83"/>
      <c r="D1341" s="84" t="s">
        <v>3</v>
      </c>
      <c r="E1341" s="85" t="s">
        <v>25</v>
      </c>
      <c r="F1341" s="85"/>
      <c r="G1341" s="85"/>
      <c r="H1341" s="86"/>
      <c r="I1341" s="87" t="s">
        <v>1911</v>
      </c>
      <c r="J1341" s="44"/>
    </row>
    <row r="1342" spans="1:10" ht="26.4" x14ac:dyDescent="0.25">
      <c r="A1342" s="51"/>
      <c r="B1342" s="83"/>
      <c r="C1342" s="83"/>
      <c r="D1342" s="84" t="s">
        <v>837</v>
      </c>
      <c r="E1342" s="85">
        <f>20.56</f>
        <v>20.56</v>
      </c>
      <c r="F1342" s="85"/>
      <c r="G1342" s="85"/>
      <c r="H1342" s="85"/>
      <c r="I1342" s="88">
        <v>20.56</v>
      </c>
      <c r="J1342" s="44" t="s">
        <v>27</v>
      </c>
    </row>
    <row r="1343" spans="1:10" x14ac:dyDescent="0.25">
      <c r="A1343" s="39" t="s">
        <v>1199</v>
      </c>
      <c r="B1343" s="16" t="s">
        <v>1200</v>
      </c>
      <c r="C1343" s="16" t="s">
        <v>56</v>
      </c>
      <c r="D1343" s="17" t="s">
        <v>1201</v>
      </c>
      <c r="E1343" s="16" t="s">
        <v>222</v>
      </c>
      <c r="F1343" s="27">
        <v>145.88999999999999</v>
      </c>
      <c r="G1343" s="67">
        <v>23.06</v>
      </c>
      <c r="H1343" s="67">
        <v>27.81</v>
      </c>
      <c r="I1343" s="18">
        <v>4057.2</v>
      </c>
      <c r="J1343" s="40">
        <v>2.3179872817022108E-4</v>
      </c>
    </row>
    <row r="1344" spans="1:10" x14ac:dyDescent="0.25">
      <c r="A1344" s="43" t="s">
        <v>24</v>
      </c>
      <c r="B1344" s="83"/>
      <c r="C1344" s="83"/>
      <c r="D1344" s="84" t="s">
        <v>3</v>
      </c>
      <c r="E1344" s="85" t="s">
        <v>25</v>
      </c>
      <c r="F1344" s="85"/>
      <c r="G1344" s="85"/>
      <c r="H1344" s="86"/>
      <c r="I1344" s="87" t="s">
        <v>1911</v>
      </c>
      <c r="J1344" s="44"/>
    </row>
    <row r="1345" spans="1:10" ht="26.4" x14ac:dyDescent="0.25">
      <c r="A1345" s="51"/>
      <c r="B1345" s="83"/>
      <c r="C1345" s="83"/>
      <c r="D1345" s="84" t="s">
        <v>837</v>
      </c>
      <c r="E1345" s="85">
        <f>145.89</f>
        <v>145.88999999999999</v>
      </c>
      <c r="F1345" s="85"/>
      <c r="G1345" s="85"/>
      <c r="H1345" s="85"/>
      <c r="I1345" s="88">
        <v>145.88999999999999</v>
      </c>
      <c r="J1345" s="44" t="s">
        <v>27</v>
      </c>
    </row>
    <row r="1346" spans="1:10" x14ac:dyDescent="0.25">
      <c r="A1346" s="39" t="s">
        <v>1202</v>
      </c>
      <c r="B1346" s="16" t="s">
        <v>1203</v>
      </c>
      <c r="C1346" s="16" t="s">
        <v>56</v>
      </c>
      <c r="D1346" s="17" t="s">
        <v>1204</v>
      </c>
      <c r="E1346" s="16" t="s">
        <v>222</v>
      </c>
      <c r="F1346" s="27">
        <v>17.41</v>
      </c>
      <c r="G1346" s="67">
        <v>39.94</v>
      </c>
      <c r="H1346" s="67">
        <v>48.16</v>
      </c>
      <c r="I1346" s="18">
        <v>838.46</v>
      </c>
      <c r="J1346" s="40">
        <v>4.7903470773342102E-5</v>
      </c>
    </row>
    <row r="1347" spans="1:10" x14ac:dyDescent="0.25">
      <c r="A1347" s="43" t="s">
        <v>24</v>
      </c>
      <c r="B1347" s="83"/>
      <c r="C1347" s="83"/>
      <c r="D1347" s="84" t="s">
        <v>3</v>
      </c>
      <c r="E1347" s="85" t="s">
        <v>25</v>
      </c>
      <c r="F1347" s="85"/>
      <c r="G1347" s="85"/>
      <c r="H1347" s="86"/>
      <c r="I1347" s="87" t="s">
        <v>1911</v>
      </c>
      <c r="J1347" s="44"/>
    </row>
    <row r="1348" spans="1:10" ht="26.4" x14ac:dyDescent="0.25">
      <c r="A1348" s="51"/>
      <c r="B1348" s="83"/>
      <c r="C1348" s="83"/>
      <c r="D1348" s="84" t="s">
        <v>837</v>
      </c>
      <c r="E1348" s="85">
        <f>17.41</f>
        <v>17.41</v>
      </c>
      <c r="F1348" s="85"/>
      <c r="G1348" s="85"/>
      <c r="H1348" s="85"/>
      <c r="I1348" s="88">
        <v>17.41</v>
      </c>
      <c r="J1348" s="44" t="s">
        <v>27</v>
      </c>
    </row>
    <row r="1349" spans="1:10" x14ac:dyDescent="0.25">
      <c r="A1349" s="39" t="s">
        <v>1205</v>
      </c>
      <c r="B1349" s="16" t="s">
        <v>1206</v>
      </c>
      <c r="C1349" s="16" t="s">
        <v>56</v>
      </c>
      <c r="D1349" s="17" t="s">
        <v>1207</v>
      </c>
      <c r="E1349" s="16" t="s">
        <v>222</v>
      </c>
      <c r="F1349" s="27">
        <v>40.47</v>
      </c>
      <c r="G1349" s="67">
        <v>43.7</v>
      </c>
      <c r="H1349" s="67">
        <v>52.7</v>
      </c>
      <c r="I1349" s="18">
        <v>2132.7600000000002</v>
      </c>
      <c r="J1349" s="40">
        <v>1.2185030451846611E-4</v>
      </c>
    </row>
    <row r="1350" spans="1:10" x14ac:dyDescent="0.25">
      <c r="A1350" s="43" t="s">
        <v>24</v>
      </c>
      <c r="B1350" s="83"/>
      <c r="C1350" s="83"/>
      <c r="D1350" s="84" t="s">
        <v>3</v>
      </c>
      <c r="E1350" s="85" t="s">
        <v>25</v>
      </c>
      <c r="F1350" s="85"/>
      <c r="G1350" s="85"/>
      <c r="H1350" s="86"/>
      <c r="I1350" s="87" t="s">
        <v>1911</v>
      </c>
      <c r="J1350" s="44"/>
    </row>
    <row r="1351" spans="1:10" ht="26.4" x14ac:dyDescent="0.25">
      <c r="A1351" s="51"/>
      <c r="B1351" s="83"/>
      <c r="C1351" s="83"/>
      <c r="D1351" s="84" t="s">
        <v>837</v>
      </c>
      <c r="E1351" s="85">
        <f>40.47</f>
        <v>40.47</v>
      </c>
      <c r="F1351" s="85"/>
      <c r="G1351" s="85"/>
      <c r="H1351" s="85"/>
      <c r="I1351" s="88">
        <v>40.47</v>
      </c>
      <c r="J1351" s="44" t="s">
        <v>27</v>
      </c>
    </row>
    <row r="1352" spans="1:10" ht="39.6" x14ac:dyDescent="0.25">
      <c r="A1352" s="39" t="s">
        <v>1208</v>
      </c>
      <c r="B1352" s="16" t="s">
        <v>1209</v>
      </c>
      <c r="C1352" s="16" t="s">
        <v>21</v>
      </c>
      <c r="D1352" s="17" t="s">
        <v>1210</v>
      </c>
      <c r="E1352" s="16" t="s">
        <v>52</v>
      </c>
      <c r="F1352" s="27">
        <v>2.67</v>
      </c>
      <c r="G1352" s="67">
        <v>96.52</v>
      </c>
      <c r="H1352" s="67">
        <v>116.4</v>
      </c>
      <c r="I1352" s="18">
        <v>310.77999999999997</v>
      </c>
      <c r="J1352" s="40">
        <v>1.7755695736158265E-5</v>
      </c>
    </row>
    <row r="1353" spans="1:10" x14ac:dyDescent="0.25">
      <c r="A1353" s="43" t="s">
        <v>24</v>
      </c>
      <c r="B1353" s="83"/>
      <c r="C1353" s="83"/>
      <c r="D1353" s="84" t="s">
        <v>3</v>
      </c>
      <c r="E1353" s="85" t="s">
        <v>25</v>
      </c>
      <c r="F1353" s="85"/>
      <c r="G1353" s="85"/>
      <c r="H1353" s="86"/>
      <c r="I1353" s="87" t="s">
        <v>1911</v>
      </c>
      <c r="J1353" s="44"/>
    </row>
    <row r="1354" spans="1:10" ht="26.4" x14ac:dyDescent="0.25">
      <c r="A1354" s="51"/>
      <c r="B1354" s="83"/>
      <c r="C1354" s="83"/>
      <c r="D1354" s="84" t="s">
        <v>837</v>
      </c>
      <c r="E1354" s="85">
        <f>2.67</f>
        <v>2.67</v>
      </c>
      <c r="F1354" s="85"/>
      <c r="G1354" s="85"/>
      <c r="H1354" s="85"/>
      <c r="I1354" s="88">
        <v>2.67</v>
      </c>
      <c r="J1354" s="44" t="s">
        <v>27</v>
      </c>
    </row>
    <row r="1355" spans="1:10" ht="39.6" x14ac:dyDescent="0.25">
      <c r="A1355" s="39" t="s">
        <v>1211</v>
      </c>
      <c r="B1355" s="16" t="s">
        <v>1212</v>
      </c>
      <c r="C1355" s="16" t="s">
        <v>21</v>
      </c>
      <c r="D1355" s="17" t="s">
        <v>1213</v>
      </c>
      <c r="E1355" s="16" t="s">
        <v>588</v>
      </c>
      <c r="F1355" s="27">
        <v>11</v>
      </c>
      <c r="G1355" s="67">
        <v>9.7100000000000009</v>
      </c>
      <c r="H1355" s="67">
        <v>11.71</v>
      </c>
      <c r="I1355" s="18">
        <v>128.81</v>
      </c>
      <c r="J1355" s="40">
        <v>7.3592611100281424E-6</v>
      </c>
    </row>
    <row r="1356" spans="1:10" x14ac:dyDescent="0.25">
      <c r="A1356" s="43" t="s">
        <v>24</v>
      </c>
      <c r="B1356" s="83"/>
      <c r="C1356" s="83"/>
      <c r="D1356" s="84" t="s">
        <v>3</v>
      </c>
      <c r="E1356" s="85" t="s">
        <v>25</v>
      </c>
      <c r="F1356" s="85"/>
      <c r="G1356" s="85"/>
      <c r="H1356" s="86"/>
      <c r="I1356" s="87" t="s">
        <v>1911</v>
      </c>
      <c r="J1356" s="44"/>
    </row>
    <row r="1357" spans="1:10" ht="26.4" x14ac:dyDescent="0.25">
      <c r="A1357" s="51"/>
      <c r="B1357" s="83"/>
      <c r="C1357" s="83"/>
      <c r="D1357" s="84" t="s">
        <v>837</v>
      </c>
      <c r="E1357" s="85">
        <f>11</f>
        <v>11</v>
      </c>
      <c r="F1357" s="85"/>
      <c r="G1357" s="85"/>
      <c r="H1357" s="85"/>
      <c r="I1357" s="88">
        <v>11</v>
      </c>
      <c r="J1357" s="44" t="s">
        <v>27</v>
      </c>
    </row>
    <row r="1358" spans="1:10" x14ac:dyDescent="0.25">
      <c r="A1358" s="39" t="s">
        <v>1214</v>
      </c>
      <c r="B1358" s="16" t="s">
        <v>1215</v>
      </c>
      <c r="C1358" s="16" t="s">
        <v>56</v>
      </c>
      <c r="D1358" s="17" t="s">
        <v>1216</v>
      </c>
      <c r="E1358" s="16" t="s">
        <v>1083</v>
      </c>
      <c r="F1358" s="27">
        <v>8</v>
      </c>
      <c r="G1358" s="67">
        <v>8.6</v>
      </c>
      <c r="H1358" s="67">
        <v>10.37</v>
      </c>
      <c r="I1358" s="18">
        <v>82.96</v>
      </c>
      <c r="J1358" s="40">
        <v>4.7397275187325105E-6</v>
      </c>
    </row>
    <row r="1359" spans="1:10" x14ac:dyDescent="0.25">
      <c r="A1359" s="43" t="s">
        <v>24</v>
      </c>
      <c r="B1359" s="83"/>
      <c r="C1359" s="83"/>
      <c r="D1359" s="84" t="s">
        <v>3</v>
      </c>
      <c r="E1359" s="85" t="s">
        <v>25</v>
      </c>
      <c r="F1359" s="85"/>
      <c r="G1359" s="85"/>
      <c r="H1359" s="86"/>
      <c r="I1359" s="87" t="s">
        <v>1911</v>
      </c>
      <c r="J1359" s="44"/>
    </row>
    <row r="1360" spans="1:10" ht="26.4" x14ac:dyDescent="0.25">
      <c r="A1360" s="51"/>
      <c r="B1360" s="83"/>
      <c r="C1360" s="83"/>
      <c r="D1360" s="84" t="s">
        <v>837</v>
      </c>
      <c r="E1360" s="85">
        <f>8</f>
        <v>8</v>
      </c>
      <c r="F1360" s="85"/>
      <c r="G1360" s="85"/>
      <c r="H1360" s="85"/>
      <c r="I1360" s="88">
        <v>8</v>
      </c>
      <c r="J1360" s="44" t="s">
        <v>27</v>
      </c>
    </row>
    <row r="1361" spans="1:10" x14ac:dyDescent="0.25">
      <c r="A1361" s="39" t="s">
        <v>1217</v>
      </c>
      <c r="B1361" s="16" t="s">
        <v>1218</v>
      </c>
      <c r="C1361" s="16" t="s">
        <v>56</v>
      </c>
      <c r="D1361" s="17" t="s">
        <v>1219</v>
      </c>
      <c r="E1361" s="16" t="s">
        <v>1083</v>
      </c>
      <c r="F1361" s="27">
        <v>1</v>
      </c>
      <c r="G1361" s="67">
        <v>54.79</v>
      </c>
      <c r="H1361" s="67">
        <v>66.069999999999993</v>
      </c>
      <c r="I1361" s="18">
        <v>66.069999999999993</v>
      </c>
      <c r="J1361" s="40">
        <v>3.7747564749597029E-6</v>
      </c>
    </row>
    <row r="1362" spans="1:10" x14ac:dyDescent="0.25">
      <c r="A1362" s="43" t="s">
        <v>24</v>
      </c>
      <c r="B1362" s="83"/>
      <c r="C1362" s="83"/>
      <c r="D1362" s="84" t="s">
        <v>3</v>
      </c>
      <c r="E1362" s="85" t="s">
        <v>25</v>
      </c>
      <c r="F1362" s="85"/>
      <c r="G1362" s="85"/>
      <c r="H1362" s="86"/>
      <c r="I1362" s="87" t="s">
        <v>1911</v>
      </c>
      <c r="J1362" s="44"/>
    </row>
    <row r="1363" spans="1:10" ht="26.4" x14ac:dyDescent="0.25">
      <c r="A1363" s="51"/>
      <c r="B1363" s="83"/>
      <c r="C1363" s="83"/>
      <c r="D1363" s="84" t="s">
        <v>837</v>
      </c>
      <c r="E1363" s="85">
        <f>1</f>
        <v>1</v>
      </c>
      <c r="F1363" s="85"/>
      <c r="G1363" s="85"/>
      <c r="H1363" s="85"/>
      <c r="I1363" s="88">
        <v>1</v>
      </c>
      <c r="J1363" s="44" t="s">
        <v>27</v>
      </c>
    </row>
    <row r="1364" spans="1:10" ht="39.6" x14ac:dyDescent="0.25">
      <c r="A1364" s="39" t="s">
        <v>1220</v>
      </c>
      <c r="B1364" s="16" t="s">
        <v>1221</v>
      </c>
      <c r="C1364" s="16" t="s">
        <v>21</v>
      </c>
      <c r="D1364" s="17" t="s">
        <v>1222</v>
      </c>
      <c r="E1364" s="16" t="s">
        <v>588</v>
      </c>
      <c r="F1364" s="27">
        <v>3</v>
      </c>
      <c r="G1364" s="67">
        <v>15.31</v>
      </c>
      <c r="H1364" s="67">
        <v>18.46</v>
      </c>
      <c r="I1364" s="18">
        <v>55.38</v>
      </c>
      <c r="J1364" s="40">
        <v>3.1640080760294892E-6</v>
      </c>
    </row>
    <row r="1365" spans="1:10" x14ac:dyDescent="0.25">
      <c r="A1365" s="43" t="s">
        <v>24</v>
      </c>
      <c r="B1365" s="83"/>
      <c r="C1365" s="83"/>
      <c r="D1365" s="84" t="s">
        <v>3</v>
      </c>
      <c r="E1365" s="85" t="s">
        <v>25</v>
      </c>
      <c r="F1365" s="85"/>
      <c r="G1365" s="85"/>
      <c r="H1365" s="86"/>
      <c r="I1365" s="87" t="s">
        <v>1911</v>
      </c>
      <c r="J1365" s="44"/>
    </row>
    <row r="1366" spans="1:10" ht="26.4" x14ac:dyDescent="0.25">
      <c r="A1366" s="51"/>
      <c r="B1366" s="83"/>
      <c r="C1366" s="83"/>
      <c r="D1366" s="84" t="s">
        <v>837</v>
      </c>
      <c r="E1366" s="85">
        <f>3</f>
        <v>3</v>
      </c>
      <c r="F1366" s="85"/>
      <c r="G1366" s="85"/>
      <c r="H1366" s="85"/>
      <c r="I1366" s="88">
        <v>3</v>
      </c>
      <c r="J1366" s="44" t="s">
        <v>27</v>
      </c>
    </row>
    <row r="1367" spans="1:10" ht="39.6" x14ac:dyDescent="0.25">
      <c r="A1367" s="39" t="s">
        <v>1223</v>
      </c>
      <c r="B1367" s="16" t="s">
        <v>1224</v>
      </c>
      <c r="C1367" s="16" t="s">
        <v>21</v>
      </c>
      <c r="D1367" s="17" t="s">
        <v>1225</v>
      </c>
      <c r="E1367" s="16" t="s">
        <v>588</v>
      </c>
      <c r="F1367" s="27">
        <v>38</v>
      </c>
      <c r="G1367" s="67">
        <v>8.94</v>
      </c>
      <c r="H1367" s="67">
        <v>10.78</v>
      </c>
      <c r="I1367" s="18">
        <v>409.64</v>
      </c>
      <c r="J1367" s="40">
        <v>2.3403832940858071E-5</v>
      </c>
    </row>
    <row r="1368" spans="1:10" x14ac:dyDescent="0.25">
      <c r="A1368" s="43" t="s">
        <v>24</v>
      </c>
      <c r="B1368" s="83"/>
      <c r="C1368" s="83"/>
      <c r="D1368" s="84" t="s">
        <v>3</v>
      </c>
      <c r="E1368" s="85" t="s">
        <v>25</v>
      </c>
      <c r="F1368" s="85"/>
      <c r="G1368" s="85"/>
      <c r="H1368" s="86"/>
      <c r="I1368" s="87" t="s">
        <v>1911</v>
      </c>
      <c r="J1368" s="44"/>
    </row>
    <row r="1369" spans="1:10" ht="26.4" x14ac:dyDescent="0.25">
      <c r="A1369" s="51"/>
      <c r="B1369" s="83"/>
      <c r="C1369" s="83"/>
      <c r="D1369" s="84" t="s">
        <v>837</v>
      </c>
      <c r="E1369" s="85">
        <f>38</f>
        <v>38</v>
      </c>
      <c r="F1369" s="85"/>
      <c r="G1369" s="85"/>
      <c r="H1369" s="85"/>
      <c r="I1369" s="88">
        <v>38</v>
      </c>
      <c r="J1369" s="44" t="s">
        <v>27</v>
      </c>
    </row>
    <row r="1370" spans="1:10" ht="39.6" x14ac:dyDescent="0.25">
      <c r="A1370" s="39" t="s">
        <v>1226</v>
      </c>
      <c r="B1370" s="16" t="s">
        <v>1227</v>
      </c>
      <c r="C1370" s="16" t="s">
        <v>21</v>
      </c>
      <c r="D1370" s="17" t="s">
        <v>1228</v>
      </c>
      <c r="E1370" s="16" t="s">
        <v>588</v>
      </c>
      <c r="F1370" s="27">
        <v>86</v>
      </c>
      <c r="G1370" s="67">
        <v>6.56</v>
      </c>
      <c r="H1370" s="67">
        <v>7.91</v>
      </c>
      <c r="I1370" s="18">
        <v>680.26</v>
      </c>
      <c r="J1370" s="40">
        <v>3.886508006139076E-5</v>
      </c>
    </row>
    <row r="1371" spans="1:10" x14ac:dyDescent="0.25">
      <c r="A1371" s="43" t="s">
        <v>24</v>
      </c>
      <c r="B1371" s="83"/>
      <c r="C1371" s="83"/>
      <c r="D1371" s="84" t="s">
        <v>3</v>
      </c>
      <c r="E1371" s="85" t="s">
        <v>25</v>
      </c>
      <c r="F1371" s="85"/>
      <c r="G1371" s="85"/>
      <c r="H1371" s="86"/>
      <c r="I1371" s="87" t="s">
        <v>1911</v>
      </c>
      <c r="J1371" s="44"/>
    </row>
    <row r="1372" spans="1:10" ht="26.4" x14ac:dyDescent="0.25">
      <c r="A1372" s="51"/>
      <c r="B1372" s="83"/>
      <c r="C1372" s="83"/>
      <c r="D1372" s="84" t="s">
        <v>837</v>
      </c>
      <c r="E1372" s="85">
        <f>86</f>
        <v>86</v>
      </c>
      <c r="F1372" s="85"/>
      <c r="G1372" s="85"/>
      <c r="H1372" s="85"/>
      <c r="I1372" s="88">
        <v>86</v>
      </c>
      <c r="J1372" s="44" t="s">
        <v>27</v>
      </c>
    </row>
    <row r="1373" spans="1:10" ht="39.6" x14ac:dyDescent="0.25">
      <c r="A1373" s="39" t="s">
        <v>1229</v>
      </c>
      <c r="B1373" s="16" t="s">
        <v>1120</v>
      </c>
      <c r="C1373" s="16" t="s">
        <v>21</v>
      </c>
      <c r="D1373" s="17" t="s">
        <v>1121</v>
      </c>
      <c r="E1373" s="16" t="s">
        <v>588</v>
      </c>
      <c r="F1373" s="27">
        <v>61</v>
      </c>
      <c r="G1373" s="67">
        <v>14.6</v>
      </c>
      <c r="H1373" s="67">
        <v>17.600000000000001</v>
      </c>
      <c r="I1373" s="18">
        <v>1073.5999999999999</v>
      </c>
      <c r="J1373" s="40">
        <v>6.1337650242420725E-5</v>
      </c>
    </row>
    <row r="1374" spans="1:10" x14ac:dyDescent="0.25">
      <c r="A1374" s="43" t="s">
        <v>24</v>
      </c>
      <c r="B1374" s="83"/>
      <c r="C1374" s="83"/>
      <c r="D1374" s="84" t="s">
        <v>3</v>
      </c>
      <c r="E1374" s="85" t="s">
        <v>25</v>
      </c>
      <c r="F1374" s="85"/>
      <c r="G1374" s="85"/>
      <c r="H1374" s="86"/>
      <c r="I1374" s="87" t="s">
        <v>1911</v>
      </c>
      <c r="J1374" s="44"/>
    </row>
    <row r="1375" spans="1:10" ht="26.4" x14ac:dyDescent="0.25">
      <c r="A1375" s="51"/>
      <c r="B1375" s="83"/>
      <c r="C1375" s="83"/>
      <c r="D1375" s="84" t="s">
        <v>837</v>
      </c>
      <c r="E1375" s="85">
        <f>61</f>
        <v>61</v>
      </c>
      <c r="F1375" s="85"/>
      <c r="G1375" s="85"/>
      <c r="H1375" s="85"/>
      <c r="I1375" s="88">
        <v>61</v>
      </c>
      <c r="J1375" s="44" t="s">
        <v>27</v>
      </c>
    </row>
    <row r="1376" spans="1:10" ht="39.6" x14ac:dyDescent="0.25">
      <c r="A1376" s="39" t="s">
        <v>1230</v>
      </c>
      <c r="B1376" s="16" t="s">
        <v>1231</v>
      </c>
      <c r="C1376" s="16" t="s">
        <v>21</v>
      </c>
      <c r="D1376" s="17" t="s">
        <v>1232</v>
      </c>
      <c r="E1376" s="16" t="s">
        <v>588</v>
      </c>
      <c r="F1376" s="27">
        <v>72</v>
      </c>
      <c r="G1376" s="67">
        <v>14.57</v>
      </c>
      <c r="H1376" s="67">
        <v>17.57</v>
      </c>
      <c r="I1376" s="18">
        <v>1265.04</v>
      </c>
      <c r="J1376" s="40">
        <v>7.2275131392205582E-5</v>
      </c>
    </row>
    <row r="1377" spans="1:10" x14ac:dyDescent="0.25">
      <c r="A1377" s="43" t="s">
        <v>24</v>
      </c>
      <c r="B1377" s="83"/>
      <c r="C1377" s="83"/>
      <c r="D1377" s="84" t="s">
        <v>3</v>
      </c>
      <c r="E1377" s="85" t="s">
        <v>25</v>
      </c>
      <c r="F1377" s="85"/>
      <c r="G1377" s="85"/>
      <c r="H1377" s="86"/>
      <c r="I1377" s="87" t="s">
        <v>1911</v>
      </c>
      <c r="J1377" s="44"/>
    </row>
    <row r="1378" spans="1:10" ht="26.4" x14ac:dyDescent="0.25">
      <c r="A1378" s="51"/>
      <c r="B1378" s="83"/>
      <c r="C1378" s="83"/>
      <c r="D1378" s="84" t="s">
        <v>837</v>
      </c>
      <c r="E1378" s="85">
        <f>72</f>
        <v>72</v>
      </c>
      <c r="F1378" s="85"/>
      <c r="G1378" s="85"/>
      <c r="H1378" s="85"/>
      <c r="I1378" s="88">
        <v>72</v>
      </c>
      <c r="J1378" s="44" t="s">
        <v>27</v>
      </c>
    </row>
    <row r="1379" spans="1:10" ht="39.6" x14ac:dyDescent="0.25">
      <c r="A1379" s="39" t="s">
        <v>1233</v>
      </c>
      <c r="B1379" s="16" t="s">
        <v>1123</v>
      </c>
      <c r="C1379" s="16" t="s">
        <v>21</v>
      </c>
      <c r="D1379" s="17" t="s">
        <v>1124</v>
      </c>
      <c r="E1379" s="16" t="s">
        <v>588</v>
      </c>
      <c r="F1379" s="27">
        <v>3</v>
      </c>
      <c r="G1379" s="67">
        <v>21.46</v>
      </c>
      <c r="H1379" s="67">
        <v>25.88</v>
      </c>
      <c r="I1379" s="18">
        <v>77.64</v>
      </c>
      <c r="J1379" s="40">
        <v>4.4357816363837041E-6</v>
      </c>
    </row>
    <row r="1380" spans="1:10" x14ac:dyDescent="0.25">
      <c r="A1380" s="43" t="s">
        <v>24</v>
      </c>
      <c r="B1380" s="83"/>
      <c r="C1380" s="83"/>
      <c r="D1380" s="84" t="s">
        <v>3</v>
      </c>
      <c r="E1380" s="85" t="s">
        <v>25</v>
      </c>
      <c r="F1380" s="85"/>
      <c r="G1380" s="85"/>
      <c r="H1380" s="86"/>
      <c r="I1380" s="87" t="s">
        <v>1911</v>
      </c>
      <c r="J1380" s="44"/>
    </row>
    <row r="1381" spans="1:10" ht="26.4" x14ac:dyDescent="0.25">
      <c r="A1381" s="51"/>
      <c r="B1381" s="83"/>
      <c r="C1381" s="83"/>
      <c r="D1381" s="84" t="s">
        <v>837</v>
      </c>
      <c r="E1381" s="85">
        <f>3</f>
        <v>3</v>
      </c>
      <c r="F1381" s="85"/>
      <c r="G1381" s="85"/>
      <c r="H1381" s="85"/>
      <c r="I1381" s="88">
        <v>3</v>
      </c>
      <c r="J1381" s="44" t="s">
        <v>27</v>
      </c>
    </row>
    <row r="1382" spans="1:10" ht="39.6" x14ac:dyDescent="0.25">
      <c r="A1382" s="39" t="s">
        <v>1234</v>
      </c>
      <c r="B1382" s="16" t="s">
        <v>1061</v>
      </c>
      <c r="C1382" s="16" t="s">
        <v>21</v>
      </c>
      <c r="D1382" s="17" t="s">
        <v>1062</v>
      </c>
      <c r="E1382" s="16" t="s">
        <v>588</v>
      </c>
      <c r="F1382" s="27">
        <v>49</v>
      </c>
      <c r="G1382" s="67">
        <v>25.85</v>
      </c>
      <c r="H1382" s="67">
        <v>31.17</v>
      </c>
      <c r="I1382" s="18">
        <v>1527.33</v>
      </c>
      <c r="J1382" s="40">
        <v>8.7260463249586845E-5</v>
      </c>
    </row>
    <row r="1383" spans="1:10" x14ac:dyDescent="0.25">
      <c r="A1383" s="43" t="s">
        <v>24</v>
      </c>
      <c r="B1383" s="83"/>
      <c r="C1383" s="83"/>
      <c r="D1383" s="84" t="s">
        <v>3</v>
      </c>
      <c r="E1383" s="85" t="s">
        <v>25</v>
      </c>
      <c r="F1383" s="85"/>
      <c r="G1383" s="85"/>
      <c r="H1383" s="86"/>
      <c r="I1383" s="87" t="s">
        <v>1911</v>
      </c>
      <c r="J1383" s="44"/>
    </row>
    <row r="1384" spans="1:10" ht="26.4" x14ac:dyDescent="0.25">
      <c r="A1384" s="51"/>
      <c r="B1384" s="83"/>
      <c r="C1384" s="83"/>
      <c r="D1384" s="84" t="s">
        <v>837</v>
      </c>
      <c r="E1384" s="85">
        <f>49</f>
        <v>49</v>
      </c>
      <c r="F1384" s="85"/>
      <c r="G1384" s="85"/>
      <c r="H1384" s="85"/>
      <c r="I1384" s="88">
        <v>49</v>
      </c>
      <c r="J1384" s="44" t="s">
        <v>27</v>
      </c>
    </row>
    <row r="1385" spans="1:10" ht="39.6" x14ac:dyDescent="0.25">
      <c r="A1385" s="39" t="s">
        <v>1235</v>
      </c>
      <c r="B1385" s="16" t="s">
        <v>1236</v>
      </c>
      <c r="C1385" s="16" t="s">
        <v>21</v>
      </c>
      <c r="D1385" s="17" t="s">
        <v>1237</v>
      </c>
      <c r="E1385" s="16" t="s">
        <v>588</v>
      </c>
      <c r="F1385" s="27">
        <v>26</v>
      </c>
      <c r="G1385" s="67">
        <v>32.26</v>
      </c>
      <c r="H1385" s="67">
        <v>38.9</v>
      </c>
      <c r="I1385" s="18">
        <v>1011.4</v>
      </c>
      <c r="J1385" s="40">
        <v>5.7783997257064382E-5</v>
      </c>
    </row>
    <row r="1386" spans="1:10" x14ac:dyDescent="0.25">
      <c r="A1386" s="43" t="s">
        <v>24</v>
      </c>
      <c r="B1386" s="83"/>
      <c r="C1386" s="83"/>
      <c r="D1386" s="84" t="s">
        <v>3</v>
      </c>
      <c r="E1386" s="85" t="s">
        <v>25</v>
      </c>
      <c r="F1386" s="85"/>
      <c r="G1386" s="85"/>
      <c r="H1386" s="86"/>
      <c r="I1386" s="87" t="s">
        <v>1911</v>
      </c>
      <c r="J1386" s="44"/>
    </row>
    <row r="1387" spans="1:10" ht="26.4" x14ac:dyDescent="0.25">
      <c r="A1387" s="51"/>
      <c r="B1387" s="83"/>
      <c r="C1387" s="83"/>
      <c r="D1387" s="84" t="s">
        <v>837</v>
      </c>
      <c r="E1387" s="85">
        <f>26</f>
        <v>26</v>
      </c>
      <c r="F1387" s="85"/>
      <c r="G1387" s="85"/>
      <c r="H1387" s="85"/>
      <c r="I1387" s="88">
        <v>26</v>
      </c>
      <c r="J1387" s="44" t="s">
        <v>27</v>
      </c>
    </row>
    <row r="1388" spans="1:10" ht="39.6" x14ac:dyDescent="0.25">
      <c r="A1388" s="39" t="s">
        <v>1238</v>
      </c>
      <c r="B1388" s="16" t="s">
        <v>1239</v>
      </c>
      <c r="C1388" s="16" t="s">
        <v>21</v>
      </c>
      <c r="D1388" s="17" t="s">
        <v>1240</v>
      </c>
      <c r="E1388" s="16" t="s">
        <v>588</v>
      </c>
      <c r="F1388" s="27">
        <v>7</v>
      </c>
      <c r="G1388" s="67">
        <v>94.3</v>
      </c>
      <c r="H1388" s="67">
        <v>113.72</v>
      </c>
      <c r="I1388" s="18">
        <v>796.04</v>
      </c>
      <c r="J1388" s="40">
        <v>4.5479902290402939E-5</v>
      </c>
    </row>
    <row r="1389" spans="1:10" x14ac:dyDescent="0.25">
      <c r="A1389" s="43" t="s">
        <v>24</v>
      </c>
      <c r="B1389" s="83"/>
      <c r="C1389" s="83"/>
      <c r="D1389" s="84" t="s">
        <v>3</v>
      </c>
      <c r="E1389" s="85" t="s">
        <v>25</v>
      </c>
      <c r="F1389" s="85"/>
      <c r="G1389" s="85"/>
      <c r="H1389" s="86"/>
      <c r="I1389" s="87" t="s">
        <v>1911</v>
      </c>
      <c r="J1389" s="44"/>
    </row>
    <row r="1390" spans="1:10" ht="26.4" x14ac:dyDescent="0.25">
      <c r="A1390" s="51"/>
      <c r="B1390" s="83"/>
      <c r="C1390" s="83"/>
      <c r="D1390" s="84" t="s">
        <v>837</v>
      </c>
      <c r="E1390" s="85">
        <f>7</f>
        <v>7</v>
      </c>
      <c r="F1390" s="85"/>
      <c r="G1390" s="85"/>
      <c r="H1390" s="85"/>
      <c r="I1390" s="88">
        <v>7</v>
      </c>
      <c r="J1390" s="44" t="s">
        <v>27</v>
      </c>
    </row>
    <row r="1391" spans="1:10" ht="39.6" x14ac:dyDescent="0.25">
      <c r="A1391" s="39" t="s">
        <v>1241</v>
      </c>
      <c r="B1391" s="16" t="s">
        <v>1242</v>
      </c>
      <c r="C1391" s="16" t="s">
        <v>21</v>
      </c>
      <c r="D1391" s="17" t="s">
        <v>1243</v>
      </c>
      <c r="E1391" s="16" t="s">
        <v>588</v>
      </c>
      <c r="F1391" s="27">
        <v>95</v>
      </c>
      <c r="G1391" s="67">
        <v>8.7799999999999994</v>
      </c>
      <c r="H1391" s="67">
        <v>10.58</v>
      </c>
      <c r="I1391" s="18">
        <v>1005.1</v>
      </c>
      <c r="J1391" s="40">
        <v>5.7424061343756583E-5</v>
      </c>
    </row>
    <row r="1392" spans="1:10" x14ac:dyDescent="0.25">
      <c r="A1392" s="43" t="s">
        <v>24</v>
      </c>
      <c r="B1392" s="83"/>
      <c r="C1392" s="83"/>
      <c r="D1392" s="84" t="s">
        <v>3</v>
      </c>
      <c r="E1392" s="85" t="s">
        <v>25</v>
      </c>
      <c r="F1392" s="85"/>
      <c r="G1392" s="85"/>
      <c r="H1392" s="86"/>
      <c r="I1392" s="87" t="s">
        <v>1911</v>
      </c>
      <c r="J1392" s="44"/>
    </row>
    <row r="1393" spans="1:10" ht="26.4" x14ac:dyDescent="0.25">
      <c r="A1393" s="51"/>
      <c r="B1393" s="83"/>
      <c r="C1393" s="83"/>
      <c r="D1393" s="84" t="s">
        <v>837</v>
      </c>
      <c r="E1393" s="85">
        <f>95</f>
        <v>95</v>
      </c>
      <c r="F1393" s="85"/>
      <c r="G1393" s="85"/>
      <c r="H1393" s="85"/>
      <c r="I1393" s="88">
        <v>95</v>
      </c>
      <c r="J1393" s="44" t="s">
        <v>27</v>
      </c>
    </row>
    <row r="1394" spans="1:10" ht="39.6" x14ac:dyDescent="0.25">
      <c r="A1394" s="39" t="s">
        <v>1244</v>
      </c>
      <c r="B1394" s="16" t="s">
        <v>1245</v>
      </c>
      <c r="C1394" s="16" t="s">
        <v>21</v>
      </c>
      <c r="D1394" s="17" t="s">
        <v>1246</v>
      </c>
      <c r="E1394" s="16" t="s">
        <v>588</v>
      </c>
      <c r="F1394" s="27">
        <v>25</v>
      </c>
      <c r="G1394" s="67">
        <v>6.51</v>
      </c>
      <c r="H1394" s="67">
        <v>7.85</v>
      </c>
      <c r="I1394" s="18">
        <v>196.25</v>
      </c>
      <c r="J1394" s="40">
        <v>1.1212289362961129E-5</v>
      </c>
    </row>
    <row r="1395" spans="1:10" x14ac:dyDescent="0.25">
      <c r="A1395" s="43" t="s">
        <v>24</v>
      </c>
      <c r="B1395" s="83"/>
      <c r="C1395" s="83"/>
      <c r="D1395" s="84" t="s">
        <v>3</v>
      </c>
      <c r="E1395" s="85" t="s">
        <v>25</v>
      </c>
      <c r="F1395" s="85"/>
      <c r="G1395" s="85"/>
      <c r="H1395" s="86"/>
      <c r="I1395" s="87" t="s">
        <v>1911</v>
      </c>
      <c r="J1395" s="44"/>
    </row>
    <row r="1396" spans="1:10" ht="26.4" x14ac:dyDescent="0.25">
      <c r="A1396" s="51"/>
      <c r="B1396" s="83"/>
      <c r="C1396" s="83"/>
      <c r="D1396" s="84" t="s">
        <v>837</v>
      </c>
      <c r="E1396" s="85">
        <f>25</f>
        <v>25</v>
      </c>
      <c r="F1396" s="85"/>
      <c r="G1396" s="85"/>
      <c r="H1396" s="85"/>
      <c r="I1396" s="88">
        <v>25</v>
      </c>
      <c r="J1396" s="44" t="s">
        <v>27</v>
      </c>
    </row>
    <row r="1397" spans="1:10" ht="39.6" x14ac:dyDescent="0.25">
      <c r="A1397" s="39" t="s">
        <v>1247</v>
      </c>
      <c r="B1397" s="16" t="s">
        <v>1132</v>
      </c>
      <c r="C1397" s="16" t="s">
        <v>21</v>
      </c>
      <c r="D1397" s="17" t="s">
        <v>1133</v>
      </c>
      <c r="E1397" s="16" t="s">
        <v>588</v>
      </c>
      <c r="F1397" s="27">
        <v>49</v>
      </c>
      <c r="G1397" s="67">
        <v>14.09</v>
      </c>
      <c r="H1397" s="67">
        <v>16.989999999999998</v>
      </c>
      <c r="I1397" s="18">
        <v>832.51</v>
      </c>
      <c r="J1397" s="40">
        <v>4.7563531299662514E-5</v>
      </c>
    </row>
    <row r="1398" spans="1:10" x14ac:dyDescent="0.25">
      <c r="A1398" s="43" t="s">
        <v>24</v>
      </c>
      <c r="B1398" s="83"/>
      <c r="C1398" s="83"/>
      <c r="D1398" s="84" t="s">
        <v>3</v>
      </c>
      <c r="E1398" s="85" t="s">
        <v>25</v>
      </c>
      <c r="F1398" s="85"/>
      <c r="G1398" s="85"/>
      <c r="H1398" s="86"/>
      <c r="I1398" s="87" t="s">
        <v>1911</v>
      </c>
      <c r="J1398" s="44"/>
    </row>
    <row r="1399" spans="1:10" ht="26.4" x14ac:dyDescent="0.25">
      <c r="A1399" s="51"/>
      <c r="B1399" s="83"/>
      <c r="C1399" s="83"/>
      <c r="D1399" s="84" t="s">
        <v>837</v>
      </c>
      <c r="E1399" s="85">
        <f>49</f>
        <v>49</v>
      </c>
      <c r="F1399" s="85"/>
      <c r="G1399" s="85"/>
      <c r="H1399" s="85"/>
      <c r="I1399" s="88">
        <v>49</v>
      </c>
      <c r="J1399" s="44" t="s">
        <v>27</v>
      </c>
    </row>
    <row r="1400" spans="1:10" ht="39.6" x14ac:dyDescent="0.25">
      <c r="A1400" s="39" t="s">
        <v>1248</v>
      </c>
      <c r="B1400" s="16" t="s">
        <v>1249</v>
      </c>
      <c r="C1400" s="16" t="s">
        <v>21</v>
      </c>
      <c r="D1400" s="17" t="s">
        <v>1250</v>
      </c>
      <c r="E1400" s="16" t="s">
        <v>588</v>
      </c>
      <c r="F1400" s="27">
        <v>13</v>
      </c>
      <c r="G1400" s="67">
        <v>14.07</v>
      </c>
      <c r="H1400" s="67">
        <v>16.96</v>
      </c>
      <c r="I1400" s="18">
        <v>220.48</v>
      </c>
      <c r="J1400" s="40">
        <v>1.2596614312079844E-5</v>
      </c>
    </row>
    <row r="1401" spans="1:10" x14ac:dyDescent="0.25">
      <c r="A1401" s="43" t="s">
        <v>24</v>
      </c>
      <c r="B1401" s="83"/>
      <c r="C1401" s="83"/>
      <c r="D1401" s="84" t="s">
        <v>3</v>
      </c>
      <c r="E1401" s="85" t="s">
        <v>25</v>
      </c>
      <c r="F1401" s="85"/>
      <c r="G1401" s="85"/>
      <c r="H1401" s="86"/>
      <c r="I1401" s="87" t="s">
        <v>1911</v>
      </c>
      <c r="J1401" s="44"/>
    </row>
    <row r="1402" spans="1:10" ht="26.4" x14ac:dyDescent="0.25">
      <c r="A1402" s="51"/>
      <c r="B1402" s="83"/>
      <c r="C1402" s="83"/>
      <c r="D1402" s="84" t="s">
        <v>837</v>
      </c>
      <c r="E1402" s="85">
        <f>13</f>
        <v>13</v>
      </c>
      <c r="F1402" s="85"/>
      <c r="G1402" s="85"/>
      <c r="H1402" s="85"/>
      <c r="I1402" s="88">
        <v>13</v>
      </c>
      <c r="J1402" s="44" t="s">
        <v>27</v>
      </c>
    </row>
    <row r="1403" spans="1:10" ht="39.6" x14ac:dyDescent="0.25">
      <c r="A1403" s="39" t="s">
        <v>1251</v>
      </c>
      <c r="B1403" s="16" t="s">
        <v>1252</v>
      </c>
      <c r="C1403" s="16" t="s">
        <v>21</v>
      </c>
      <c r="D1403" s="17" t="s">
        <v>1253</v>
      </c>
      <c r="E1403" s="16" t="s">
        <v>588</v>
      </c>
      <c r="F1403" s="27">
        <v>4</v>
      </c>
      <c r="G1403" s="67">
        <v>25.05</v>
      </c>
      <c r="H1403" s="67">
        <v>30.21</v>
      </c>
      <c r="I1403" s="18">
        <v>120.84</v>
      </c>
      <c r="J1403" s="40">
        <v>6.9039136133514528E-6</v>
      </c>
    </row>
    <row r="1404" spans="1:10" x14ac:dyDescent="0.25">
      <c r="A1404" s="43" t="s">
        <v>24</v>
      </c>
      <c r="B1404" s="83"/>
      <c r="C1404" s="83"/>
      <c r="D1404" s="84" t="s">
        <v>3</v>
      </c>
      <c r="E1404" s="85" t="s">
        <v>25</v>
      </c>
      <c r="F1404" s="85"/>
      <c r="G1404" s="85"/>
      <c r="H1404" s="86"/>
      <c r="I1404" s="87" t="s">
        <v>1911</v>
      </c>
      <c r="J1404" s="44"/>
    </row>
    <row r="1405" spans="1:10" ht="26.4" x14ac:dyDescent="0.25">
      <c r="A1405" s="51"/>
      <c r="B1405" s="83"/>
      <c r="C1405" s="83"/>
      <c r="D1405" s="84" t="s">
        <v>837</v>
      </c>
      <c r="E1405" s="85">
        <f>4</f>
        <v>4</v>
      </c>
      <c r="F1405" s="85"/>
      <c r="G1405" s="85"/>
      <c r="H1405" s="85"/>
      <c r="I1405" s="88">
        <v>4</v>
      </c>
      <c r="J1405" s="44" t="s">
        <v>27</v>
      </c>
    </row>
    <row r="1406" spans="1:10" ht="39.6" x14ac:dyDescent="0.25">
      <c r="A1406" s="39" t="s">
        <v>1254</v>
      </c>
      <c r="B1406" s="16" t="s">
        <v>1064</v>
      </c>
      <c r="C1406" s="16" t="s">
        <v>21</v>
      </c>
      <c r="D1406" s="17" t="s">
        <v>1065</v>
      </c>
      <c r="E1406" s="16" t="s">
        <v>588</v>
      </c>
      <c r="F1406" s="27">
        <v>73</v>
      </c>
      <c r="G1406" s="67">
        <v>25.26</v>
      </c>
      <c r="H1406" s="67">
        <v>30.46</v>
      </c>
      <c r="I1406" s="18">
        <v>2223.58</v>
      </c>
      <c r="J1406" s="40">
        <v>1.2703909493856359E-4</v>
      </c>
    </row>
    <row r="1407" spans="1:10" x14ac:dyDescent="0.25">
      <c r="A1407" s="43" t="s">
        <v>24</v>
      </c>
      <c r="B1407" s="83"/>
      <c r="C1407" s="83"/>
      <c r="D1407" s="84" t="s">
        <v>3</v>
      </c>
      <c r="E1407" s="85" t="s">
        <v>25</v>
      </c>
      <c r="F1407" s="85"/>
      <c r="G1407" s="85"/>
      <c r="H1407" s="86"/>
      <c r="I1407" s="87" t="s">
        <v>1911</v>
      </c>
      <c r="J1407" s="44"/>
    </row>
    <row r="1408" spans="1:10" ht="26.4" x14ac:dyDescent="0.25">
      <c r="A1408" s="51"/>
      <c r="B1408" s="83"/>
      <c r="C1408" s="83"/>
      <c r="D1408" s="84" t="s">
        <v>837</v>
      </c>
      <c r="E1408" s="85">
        <f>73</f>
        <v>73</v>
      </c>
      <c r="F1408" s="85"/>
      <c r="G1408" s="85"/>
      <c r="H1408" s="85"/>
      <c r="I1408" s="88">
        <v>73</v>
      </c>
      <c r="J1408" s="44" t="s">
        <v>27</v>
      </c>
    </row>
    <row r="1409" spans="1:10" ht="39.6" x14ac:dyDescent="0.25">
      <c r="A1409" s="39" t="s">
        <v>1255</v>
      </c>
      <c r="B1409" s="16" t="s">
        <v>1256</v>
      </c>
      <c r="C1409" s="16" t="s">
        <v>21</v>
      </c>
      <c r="D1409" s="17" t="s">
        <v>1257</v>
      </c>
      <c r="E1409" s="16" t="s">
        <v>588</v>
      </c>
      <c r="F1409" s="27">
        <v>6</v>
      </c>
      <c r="G1409" s="67">
        <v>31.55</v>
      </c>
      <c r="H1409" s="67">
        <v>38.04</v>
      </c>
      <c r="I1409" s="18">
        <v>228.24</v>
      </c>
      <c r="J1409" s="40">
        <v>1.3039963944979606E-5</v>
      </c>
    </row>
    <row r="1410" spans="1:10" x14ac:dyDescent="0.25">
      <c r="A1410" s="43" t="s">
        <v>24</v>
      </c>
      <c r="B1410" s="83"/>
      <c r="C1410" s="83"/>
      <c r="D1410" s="84" t="s">
        <v>3</v>
      </c>
      <c r="E1410" s="85" t="s">
        <v>25</v>
      </c>
      <c r="F1410" s="85"/>
      <c r="G1410" s="85"/>
      <c r="H1410" s="86"/>
      <c r="I1410" s="87" t="s">
        <v>1911</v>
      </c>
      <c r="J1410" s="44"/>
    </row>
    <row r="1411" spans="1:10" ht="26.4" x14ac:dyDescent="0.25">
      <c r="A1411" s="51"/>
      <c r="B1411" s="83"/>
      <c r="C1411" s="83"/>
      <c r="D1411" s="84" t="s">
        <v>837</v>
      </c>
      <c r="E1411" s="85">
        <f>6</f>
        <v>6</v>
      </c>
      <c r="F1411" s="85"/>
      <c r="G1411" s="85"/>
      <c r="H1411" s="85"/>
      <c r="I1411" s="88">
        <v>6</v>
      </c>
      <c r="J1411" s="44" t="s">
        <v>27</v>
      </c>
    </row>
    <row r="1412" spans="1:10" ht="39.6" x14ac:dyDescent="0.25">
      <c r="A1412" s="39" t="s">
        <v>1258</v>
      </c>
      <c r="B1412" s="16" t="s">
        <v>1259</v>
      </c>
      <c r="C1412" s="16" t="s">
        <v>21</v>
      </c>
      <c r="D1412" s="17" t="s">
        <v>1260</v>
      </c>
      <c r="E1412" s="16" t="s">
        <v>588</v>
      </c>
      <c r="F1412" s="27">
        <v>14</v>
      </c>
      <c r="G1412" s="67">
        <v>23.79</v>
      </c>
      <c r="H1412" s="67">
        <v>28.69</v>
      </c>
      <c r="I1412" s="18">
        <v>401.66</v>
      </c>
      <c r="J1412" s="40">
        <v>2.2947914117334862E-5</v>
      </c>
    </row>
    <row r="1413" spans="1:10" x14ac:dyDescent="0.25">
      <c r="A1413" s="43" t="s">
        <v>24</v>
      </c>
      <c r="B1413" s="83"/>
      <c r="C1413" s="83"/>
      <c r="D1413" s="84" t="s">
        <v>3</v>
      </c>
      <c r="E1413" s="85" t="s">
        <v>25</v>
      </c>
      <c r="F1413" s="85"/>
      <c r="G1413" s="85"/>
      <c r="H1413" s="86"/>
      <c r="I1413" s="87" t="s">
        <v>1911</v>
      </c>
      <c r="J1413" s="44"/>
    </row>
    <row r="1414" spans="1:10" ht="26.4" x14ac:dyDescent="0.25">
      <c r="A1414" s="51"/>
      <c r="B1414" s="83"/>
      <c r="C1414" s="83"/>
      <c r="D1414" s="84" t="s">
        <v>837</v>
      </c>
      <c r="E1414" s="85">
        <f>14</f>
        <v>14</v>
      </c>
      <c r="F1414" s="85"/>
      <c r="G1414" s="85"/>
      <c r="H1414" s="85"/>
      <c r="I1414" s="88">
        <v>14</v>
      </c>
      <c r="J1414" s="44" t="s">
        <v>27</v>
      </c>
    </row>
    <row r="1415" spans="1:10" ht="39.6" x14ac:dyDescent="0.25">
      <c r="A1415" s="39" t="s">
        <v>1261</v>
      </c>
      <c r="B1415" s="16" t="s">
        <v>1262</v>
      </c>
      <c r="C1415" s="16" t="s">
        <v>21</v>
      </c>
      <c r="D1415" s="17" t="s">
        <v>1263</v>
      </c>
      <c r="E1415" s="16" t="s">
        <v>588</v>
      </c>
      <c r="F1415" s="27">
        <v>22</v>
      </c>
      <c r="G1415" s="67">
        <v>29.06</v>
      </c>
      <c r="H1415" s="67">
        <v>35.04</v>
      </c>
      <c r="I1415" s="18">
        <v>770.88</v>
      </c>
      <c r="J1415" s="40">
        <v>4.4042443944557828E-5</v>
      </c>
    </row>
    <row r="1416" spans="1:10" x14ac:dyDescent="0.25">
      <c r="A1416" s="43" t="s">
        <v>24</v>
      </c>
      <c r="B1416" s="83"/>
      <c r="C1416" s="83"/>
      <c r="D1416" s="84" t="s">
        <v>3</v>
      </c>
      <c r="E1416" s="85" t="s">
        <v>25</v>
      </c>
      <c r="F1416" s="85"/>
      <c r="G1416" s="85"/>
      <c r="H1416" s="86"/>
      <c r="I1416" s="87" t="s">
        <v>1911</v>
      </c>
      <c r="J1416" s="44"/>
    </row>
    <row r="1417" spans="1:10" ht="26.4" x14ac:dyDescent="0.25">
      <c r="A1417" s="51"/>
      <c r="B1417" s="83"/>
      <c r="C1417" s="83"/>
      <c r="D1417" s="84" t="s">
        <v>837</v>
      </c>
      <c r="E1417" s="85">
        <f>22</f>
        <v>22</v>
      </c>
      <c r="F1417" s="85"/>
      <c r="G1417" s="85"/>
      <c r="H1417" s="85"/>
      <c r="I1417" s="88">
        <v>22</v>
      </c>
      <c r="J1417" s="44" t="s">
        <v>27</v>
      </c>
    </row>
    <row r="1418" spans="1:10" ht="26.4" x14ac:dyDescent="0.25">
      <c r="A1418" s="39" t="s">
        <v>1264</v>
      </c>
      <c r="B1418" s="16" t="s">
        <v>1265</v>
      </c>
      <c r="C1418" s="16" t="s">
        <v>56</v>
      </c>
      <c r="D1418" s="17" t="s">
        <v>1266</v>
      </c>
      <c r="E1418" s="16" t="s">
        <v>1083</v>
      </c>
      <c r="F1418" s="27">
        <v>4</v>
      </c>
      <c r="G1418" s="67">
        <v>28.9</v>
      </c>
      <c r="H1418" s="67">
        <v>34.85</v>
      </c>
      <c r="I1418" s="18">
        <v>139.4</v>
      </c>
      <c r="J1418" s="40">
        <v>7.9642962404931519E-6</v>
      </c>
    </row>
    <row r="1419" spans="1:10" x14ac:dyDescent="0.25">
      <c r="A1419" s="43" t="s">
        <v>24</v>
      </c>
      <c r="B1419" s="83"/>
      <c r="C1419" s="83"/>
      <c r="D1419" s="84" t="s">
        <v>3</v>
      </c>
      <c r="E1419" s="85" t="s">
        <v>25</v>
      </c>
      <c r="F1419" s="85"/>
      <c r="G1419" s="85"/>
      <c r="H1419" s="86"/>
      <c r="I1419" s="87" t="s">
        <v>1911</v>
      </c>
      <c r="J1419" s="44"/>
    </row>
    <row r="1420" spans="1:10" ht="26.4" x14ac:dyDescent="0.25">
      <c r="A1420" s="51"/>
      <c r="B1420" s="83"/>
      <c r="C1420" s="83"/>
      <c r="D1420" s="84" t="s">
        <v>837</v>
      </c>
      <c r="E1420" s="85">
        <f>4</f>
        <v>4</v>
      </c>
      <c r="F1420" s="85"/>
      <c r="G1420" s="85"/>
      <c r="H1420" s="85"/>
      <c r="I1420" s="88">
        <v>4</v>
      </c>
      <c r="J1420" s="44" t="s">
        <v>27</v>
      </c>
    </row>
    <row r="1421" spans="1:10" ht="39.6" x14ac:dyDescent="0.25">
      <c r="A1421" s="39" t="s">
        <v>1267</v>
      </c>
      <c r="B1421" s="16" t="s">
        <v>1139</v>
      </c>
      <c r="C1421" s="16" t="s">
        <v>21</v>
      </c>
      <c r="D1421" s="17" t="s">
        <v>1140</v>
      </c>
      <c r="E1421" s="16" t="s">
        <v>588</v>
      </c>
      <c r="F1421" s="27">
        <v>1</v>
      </c>
      <c r="G1421" s="67">
        <v>35.69</v>
      </c>
      <c r="H1421" s="67">
        <v>43.04</v>
      </c>
      <c r="I1421" s="18">
        <v>43.04</v>
      </c>
      <c r="J1421" s="40">
        <v>2.4589907474234238E-6</v>
      </c>
    </row>
    <row r="1422" spans="1:10" x14ac:dyDescent="0.25">
      <c r="A1422" s="43" t="s">
        <v>24</v>
      </c>
      <c r="B1422" s="83"/>
      <c r="C1422" s="83"/>
      <c r="D1422" s="84" t="s">
        <v>3</v>
      </c>
      <c r="E1422" s="85" t="s">
        <v>25</v>
      </c>
      <c r="F1422" s="85"/>
      <c r="G1422" s="85"/>
      <c r="H1422" s="86"/>
      <c r="I1422" s="87" t="s">
        <v>1911</v>
      </c>
      <c r="J1422" s="44"/>
    </row>
    <row r="1423" spans="1:10" ht="26.4" x14ac:dyDescent="0.25">
      <c r="A1423" s="51"/>
      <c r="B1423" s="83"/>
      <c r="C1423" s="83"/>
      <c r="D1423" s="84" t="s">
        <v>837</v>
      </c>
      <c r="E1423" s="85">
        <f>1</f>
        <v>1</v>
      </c>
      <c r="F1423" s="85"/>
      <c r="G1423" s="85"/>
      <c r="H1423" s="85"/>
      <c r="I1423" s="88">
        <v>1</v>
      </c>
      <c r="J1423" s="44" t="s">
        <v>27</v>
      </c>
    </row>
    <row r="1424" spans="1:10" ht="26.4" x14ac:dyDescent="0.25">
      <c r="A1424" s="39" t="s">
        <v>1268</v>
      </c>
      <c r="B1424" s="16" t="s">
        <v>1269</v>
      </c>
      <c r="C1424" s="16" t="s">
        <v>56</v>
      </c>
      <c r="D1424" s="17" t="s">
        <v>1270</v>
      </c>
      <c r="E1424" s="16" t="s">
        <v>1083</v>
      </c>
      <c r="F1424" s="27">
        <v>38</v>
      </c>
      <c r="G1424" s="67">
        <v>40.93</v>
      </c>
      <c r="H1424" s="67">
        <v>49.36</v>
      </c>
      <c r="I1424" s="18">
        <v>1875.68</v>
      </c>
      <c r="J1424" s="40">
        <v>1.0716263394812193E-4</v>
      </c>
    </row>
    <row r="1425" spans="1:10" x14ac:dyDescent="0.25">
      <c r="A1425" s="43" t="s">
        <v>24</v>
      </c>
      <c r="B1425" s="83"/>
      <c r="C1425" s="83"/>
      <c r="D1425" s="84" t="s">
        <v>3</v>
      </c>
      <c r="E1425" s="85" t="s">
        <v>25</v>
      </c>
      <c r="F1425" s="85"/>
      <c r="G1425" s="85"/>
      <c r="H1425" s="86"/>
      <c r="I1425" s="87" t="s">
        <v>1911</v>
      </c>
      <c r="J1425" s="44"/>
    </row>
    <row r="1426" spans="1:10" ht="26.4" x14ac:dyDescent="0.25">
      <c r="A1426" s="51"/>
      <c r="B1426" s="83"/>
      <c r="C1426" s="83"/>
      <c r="D1426" s="84" t="s">
        <v>837</v>
      </c>
      <c r="E1426" s="85">
        <f>38</f>
        <v>38</v>
      </c>
      <c r="F1426" s="85"/>
      <c r="G1426" s="85"/>
      <c r="H1426" s="85"/>
      <c r="I1426" s="88">
        <v>38</v>
      </c>
      <c r="J1426" s="44" t="s">
        <v>27</v>
      </c>
    </row>
    <row r="1427" spans="1:10" ht="39.6" x14ac:dyDescent="0.25">
      <c r="A1427" s="39" t="s">
        <v>1271</v>
      </c>
      <c r="B1427" s="16" t="s">
        <v>1272</v>
      </c>
      <c r="C1427" s="16" t="s">
        <v>21</v>
      </c>
      <c r="D1427" s="17" t="s">
        <v>1273</v>
      </c>
      <c r="E1427" s="16" t="s">
        <v>588</v>
      </c>
      <c r="F1427" s="27">
        <v>36</v>
      </c>
      <c r="G1427" s="67">
        <v>46.05</v>
      </c>
      <c r="H1427" s="67">
        <v>55.53</v>
      </c>
      <c r="I1427" s="18">
        <v>1999.08</v>
      </c>
      <c r="J1427" s="40">
        <v>1.1421280723418258E-4</v>
      </c>
    </row>
    <row r="1428" spans="1:10" x14ac:dyDescent="0.25">
      <c r="A1428" s="43" t="s">
        <v>24</v>
      </c>
      <c r="B1428" s="83"/>
      <c r="C1428" s="83"/>
      <c r="D1428" s="84" t="s">
        <v>3</v>
      </c>
      <c r="E1428" s="85" t="s">
        <v>25</v>
      </c>
      <c r="F1428" s="85"/>
      <c r="G1428" s="85"/>
      <c r="H1428" s="86"/>
      <c r="I1428" s="87" t="s">
        <v>1911</v>
      </c>
      <c r="J1428" s="44"/>
    </row>
    <row r="1429" spans="1:10" ht="26.4" x14ac:dyDescent="0.25">
      <c r="A1429" s="51"/>
      <c r="B1429" s="83"/>
      <c r="C1429" s="83"/>
      <c r="D1429" s="84" t="s">
        <v>837</v>
      </c>
      <c r="E1429" s="85">
        <f>36</f>
        <v>36</v>
      </c>
      <c r="F1429" s="85"/>
      <c r="G1429" s="85"/>
      <c r="H1429" s="85"/>
      <c r="I1429" s="88">
        <v>36</v>
      </c>
      <c r="J1429" s="44" t="s">
        <v>27</v>
      </c>
    </row>
    <row r="1430" spans="1:10" ht="39.6" x14ac:dyDescent="0.25">
      <c r="A1430" s="39" t="s">
        <v>1274</v>
      </c>
      <c r="B1430" s="16" t="s">
        <v>1275</v>
      </c>
      <c r="C1430" s="16" t="s">
        <v>21</v>
      </c>
      <c r="D1430" s="17" t="s">
        <v>1276</v>
      </c>
      <c r="E1430" s="16" t="s">
        <v>588</v>
      </c>
      <c r="F1430" s="27">
        <v>6</v>
      </c>
      <c r="G1430" s="67">
        <v>63.92</v>
      </c>
      <c r="H1430" s="67">
        <v>77.08</v>
      </c>
      <c r="I1430" s="18">
        <v>462.48</v>
      </c>
      <c r="J1430" s="40">
        <v>2.6422723997871402E-5</v>
      </c>
    </row>
    <row r="1431" spans="1:10" x14ac:dyDescent="0.25">
      <c r="A1431" s="43" t="s">
        <v>24</v>
      </c>
      <c r="B1431" s="83"/>
      <c r="C1431" s="83"/>
      <c r="D1431" s="84" t="s">
        <v>3</v>
      </c>
      <c r="E1431" s="85" t="s">
        <v>25</v>
      </c>
      <c r="F1431" s="85"/>
      <c r="G1431" s="85"/>
      <c r="H1431" s="86"/>
      <c r="I1431" s="87" t="s">
        <v>1911</v>
      </c>
      <c r="J1431" s="44"/>
    </row>
    <row r="1432" spans="1:10" ht="26.4" x14ac:dyDescent="0.25">
      <c r="A1432" s="51"/>
      <c r="B1432" s="83"/>
      <c r="C1432" s="83"/>
      <c r="D1432" s="84" t="s">
        <v>837</v>
      </c>
      <c r="E1432" s="85">
        <f>6</f>
        <v>6</v>
      </c>
      <c r="F1432" s="85"/>
      <c r="G1432" s="85"/>
      <c r="H1432" s="85"/>
      <c r="I1432" s="88">
        <v>6</v>
      </c>
      <c r="J1432" s="44" t="s">
        <v>27</v>
      </c>
    </row>
    <row r="1433" spans="1:10" ht="26.4" x14ac:dyDescent="0.25">
      <c r="A1433" s="39" t="s">
        <v>1277</v>
      </c>
      <c r="B1433" s="16" t="s">
        <v>1278</v>
      </c>
      <c r="C1433" s="16" t="s">
        <v>56</v>
      </c>
      <c r="D1433" s="17" t="s">
        <v>1279</v>
      </c>
      <c r="E1433" s="16" t="s">
        <v>1083</v>
      </c>
      <c r="F1433" s="27">
        <v>9</v>
      </c>
      <c r="G1433" s="67">
        <v>107.66</v>
      </c>
      <c r="H1433" s="67">
        <v>129.83000000000001</v>
      </c>
      <c r="I1433" s="18">
        <v>1168.47</v>
      </c>
      <c r="J1433" s="40">
        <v>6.6757828035358919E-5</v>
      </c>
    </row>
    <row r="1434" spans="1:10" x14ac:dyDescent="0.25">
      <c r="A1434" s="43" t="s">
        <v>24</v>
      </c>
      <c r="B1434" s="83"/>
      <c r="C1434" s="83"/>
      <c r="D1434" s="84" t="s">
        <v>3</v>
      </c>
      <c r="E1434" s="85" t="s">
        <v>25</v>
      </c>
      <c r="F1434" s="85"/>
      <c r="G1434" s="85"/>
      <c r="H1434" s="86"/>
      <c r="I1434" s="87" t="s">
        <v>1911</v>
      </c>
      <c r="J1434" s="44"/>
    </row>
    <row r="1435" spans="1:10" ht="26.4" x14ac:dyDescent="0.25">
      <c r="A1435" s="51"/>
      <c r="B1435" s="83"/>
      <c r="C1435" s="83"/>
      <c r="D1435" s="84" t="s">
        <v>837</v>
      </c>
      <c r="E1435" s="85">
        <f>9</f>
        <v>9</v>
      </c>
      <c r="F1435" s="85"/>
      <c r="G1435" s="85"/>
      <c r="H1435" s="85"/>
      <c r="I1435" s="88">
        <v>9</v>
      </c>
      <c r="J1435" s="44" t="s">
        <v>27</v>
      </c>
    </row>
    <row r="1436" spans="1:10" ht="39.6" x14ac:dyDescent="0.25">
      <c r="A1436" s="39" t="s">
        <v>1280</v>
      </c>
      <c r="B1436" s="16" t="s">
        <v>1281</v>
      </c>
      <c r="C1436" s="16" t="s">
        <v>21</v>
      </c>
      <c r="D1436" s="17" t="s">
        <v>1282</v>
      </c>
      <c r="E1436" s="16" t="s">
        <v>588</v>
      </c>
      <c r="F1436" s="27">
        <v>148</v>
      </c>
      <c r="G1436" s="67">
        <v>4.4800000000000004</v>
      </c>
      <c r="H1436" s="67">
        <v>5.4</v>
      </c>
      <c r="I1436" s="18">
        <v>799.2</v>
      </c>
      <c r="J1436" s="40">
        <v>4.5660441573903358E-5</v>
      </c>
    </row>
    <row r="1437" spans="1:10" x14ac:dyDescent="0.25">
      <c r="A1437" s="43" t="s">
        <v>24</v>
      </c>
      <c r="B1437" s="83"/>
      <c r="C1437" s="83"/>
      <c r="D1437" s="84" t="s">
        <v>3</v>
      </c>
      <c r="E1437" s="85" t="s">
        <v>25</v>
      </c>
      <c r="F1437" s="85"/>
      <c r="G1437" s="85"/>
      <c r="H1437" s="86"/>
      <c r="I1437" s="87" t="s">
        <v>1911</v>
      </c>
      <c r="J1437" s="44"/>
    </row>
    <row r="1438" spans="1:10" ht="26.4" x14ac:dyDescent="0.25">
      <c r="A1438" s="51"/>
      <c r="B1438" s="83"/>
      <c r="C1438" s="83"/>
      <c r="D1438" s="84" t="s">
        <v>837</v>
      </c>
      <c r="E1438" s="85">
        <f>148</f>
        <v>148</v>
      </c>
      <c r="F1438" s="85"/>
      <c r="G1438" s="85"/>
      <c r="H1438" s="85"/>
      <c r="I1438" s="88">
        <v>148</v>
      </c>
      <c r="J1438" s="44" t="s">
        <v>27</v>
      </c>
    </row>
    <row r="1439" spans="1:10" ht="39.6" x14ac:dyDescent="0.25">
      <c r="A1439" s="39" t="s">
        <v>1283</v>
      </c>
      <c r="B1439" s="16" t="s">
        <v>1284</v>
      </c>
      <c r="C1439" s="16" t="s">
        <v>21</v>
      </c>
      <c r="D1439" s="17" t="s">
        <v>1285</v>
      </c>
      <c r="E1439" s="16" t="s">
        <v>588</v>
      </c>
      <c r="F1439" s="27">
        <v>97</v>
      </c>
      <c r="G1439" s="67">
        <v>13.66</v>
      </c>
      <c r="H1439" s="67">
        <v>16.47</v>
      </c>
      <c r="I1439" s="18">
        <v>1597.59</v>
      </c>
      <c r="J1439" s="40">
        <v>9.1274605673238567E-5</v>
      </c>
    </row>
    <row r="1440" spans="1:10" x14ac:dyDescent="0.25">
      <c r="A1440" s="43" t="s">
        <v>24</v>
      </c>
      <c r="B1440" s="83"/>
      <c r="C1440" s="83"/>
      <c r="D1440" s="84" t="s">
        <v>3</v>
      </c>
      <c r="E1440" s="85" t="s">
        <v>25</v>
      </c>
      <c r="F1440" s="85"/>
      <c r="G1440" s="85"/>
      <c r="H1440" s="86"/>
      <c r="I1440" s="87" t="s">
        <v>1911</v>
      </c>
      <c r="J1440" s="44"/>
    </row>
    <row r="1441" spans="1:10" ht="26.4" x14ac:dyDescent="0.25">
      <c r="A1441" s="51"/>
      <c r="B1441" s="83"/>
      <c r="C1441" s="83"/>
      <c r="D1441" s="84" t="s">
        <v>837</v>
      </c>
      <c r="E1441" s="85">
        <f>97</f>
        <v>97</v>
      </c>
      <c r="F1441" s="85"/>
      <c r="G1441" s="85"/>
      <c r="H1441" s="85"/>
      <c r="I1441" s="88">
        <v>97</v>
      </c>
      <c r="J1441" s="44" t="s">
        <v>27</v>
      </c>
    </row>
    <row r="1442" spans="1:10" ht="39.6" x14ac:dyDescent="0.25">
      <c r="A1442" s="39" t="s">
        <v>1286</v>
      </c>
      <c r="B1442" s="16" t="s">
        <v>1145</v>
      </c>
      <c r="C1442" s="16" t="s">
        <v>21</v>
      </c>
      <c r="D1442" s="17" t="s">
        <v>1146</v>
      </c>
      <c r="E1442" s="16" t="s">
        <v>588</v>
      </c>
      <c r="F1442" s="27">
        <v>5</v>
      </c>
      <c r="G1442" s="67">
        <v>12.45</v>
      </c>
      <c r="H1442" s="67">
        <v>15.01</v>
      </c>
      <c r="I1442" s="18">
        <v>75.05</v>
      </c>
      <c r="J1442" s="40">
        <v>4.287807983134943E-6</v>
      </c>
    </row>
    <row r="1443" spans="1:10" x14ac:dyDescent="0.25">
      <c r="A1443" s="43" t="s">
        <v>24</v>
      </c>
      <c r="B1443" s="83"/>
      <c r="C1443" s="83"/>
      <c r="D1443" s="84" t="s">
        <v>3</v>
      </c>
      <c r="E1443" s="85" t="s">
        <v>25</v>
      </c>
      <c r="F1443" s="85"/>
      <c r="G1443" s="85"/>
      <c r="H1443" s="86"/>
      <c r="I1443" s="87" t="s">
        <v>1911</v>
      </c>
      <c r="J1443" s="44"/>
    </row>
    <row r="1444" spans="1:10" ht="26.4" x14ac:dyDescent="0.25">
      <c r="A1444" s="51"/>
      <c r="B1444" s="83"/>
      <c r="C1444" s="83"/>
      <c r="D1444" s="84" t="s">
        <v>837</v>
      </c>
      <c r="E1444" s="85">
        <f>5</f>
        <v>5</v>
      </c>
      <c r="F1444" s="85"/>
      <c r="G1444" s="85"/>
      <c r="H1444" s="85"/>
      <c r="I1444" s="88">
        <v>5</v>
      </c>
      <c r="J1444" s="44" t="s">
        <v>27</v>
      </c>
    </row>
    <row r="1445" spans="1:10" ht="39.6" x14ac:dyDescent="0.25">
      <c r="A1445" s="39" t="s">
        <v>1287</v>
      </c>
      <c r="B1445" s="16" t="s">
        <v>1288</v>
      </c>
      <c r="C1445" s="16" t="s">
        <v>21</v>
      </c>
      <c r="D1445" s="17" t="s">
        <v>1289</v>
      </c>
      <c r="E1445" s="16" t="s">
        <v>588</v>
      </c>
      <c r="F1445" s="27">
        <v>7</v>
      </c>
      <c r="G1445" s="67">
        <v>18.329999999999998</v>
      </c>
      <c r="H1445" s="67">
        <v>22.1</v>
      </c>
      <c r="I1445" s="18">
        <v>154.69999999999999</v>
      </c>
      <c r="J1445" s="40">
        <v>8.8384263156692312E-6</v>
      </c>
    </row>
    <row r="1446" spans="1:10" x14ac:dyDescent="0.25">
      <c r="A1446" s="43" t="s">
        <v>24</v>
      </c>
      <c r="B1446" s="83"/>
      <c r="C1446" s="83"/>
      <c r="D1446" s="84" t="s">
        <v>3</v>
      </c>
      <c r="E1446" s="85" t="s">
        <v>25</v>
      </c>
      <c r="F1446" s="85"/>
      <c r="G1446" s="85"/>
      <c r="H1446" s="86"/>
      <c r="I1446" s="87" t="s">
        <v>1911</v>
      </c>
      <c r="J1446" s="44"/>
    </row>
    <row r="1447" spans="1:10" ht="26.4" x14ac:dyDescent="0.25">
      <c r="A1447" s="51"/>
      <c r="B1447" s="83"/>
      <c r="C1447" s="83"/>
      <c r="D1447" s="84" t="s">
        <v>837</v>
      </c>
      <c r="E1447" s="85">
        <f>7</f>
        <v>7</v>
      </c>
      <c r="F1447" s="85"/>
      <c r="G1447" s="85"/>
      <c r="H1447" s="85"/>
      <c r="I1447" s="88">
        <v>7</v>
      </c>
      <c r="J1447" s="44" t="s">
        <v>27</v>
      </c>
    </row>
    <row r="1448" spans="1:10" ht="39.6" x14ac:dyDescent="0.25">
      <c r="A1448" s="39" t="s">
        <v>1290</v>
      </c>
      <c r="B1448" s="16" t="s">
        <v>1070</v>
      </c>
      <c r="C1448" s="16" t="s">
        <v>21</v>
      </c>
      <c r="D1448" s="17" t="s">
        <v>1071</v>
      </c>
      <c r="E1448" s="16" t="s">
        <v>588</v>
      </c>
      <c r="F1448" s="27">
        <v>210</v>
      </c>
      <c r="G1448" s="67">
        <v>14.44</v>
      </c>
      <c r="H1448" s="67">
        <v>17.41</v>
      </c>
      <c r="I1448" s="18">
        <v>3656.1</v>
      </c>
      <c r="J1448" s="40">
        <v>2.0888280835629135E-4</v>
      </c>
    </row>
    <row r="1449" spans="1:10" x14ac:dyDescent="0.25">
      <c r="A1449" s="43" t="s">
        <v>24</v>
      </c>
      <c r="B1449" s="83"/>
      <c r="C1449" s="83"/>
      <c r="D1449" s="84" t="s">
        <v>3</v>
      </c>
      <c r="E1449" s="85" t="s">
        <v>25</v>
      </c>
      <c r="F1449" s="85"/>
      <c r="G1449" s="85"/>
      <c r="H1449" s="86"/>
      <c r="I1449" s="87" t="s">
        <v>1911</v>
      </c>
      <c r="J1449" s="44"/>
    </row>
    <row r="1450" spans="1:10" ht="26.4" x14ac:dyDescent="0.25">
      <c r="A1450" s="51"/>
      <c r="B1450" s="83"/>
      <c r="C1450" s="83"/>
      <c r="D1450" s="84" t="s">
        <v>837</v>
      </c>
      <c r="E1450" s="85">
        <f>210</f>
        <v>210</v>
      </c>
      <c r="F1450" s="85"/>
      <c r="G1450" s="85"/>
      <c r="H1450" s="85"/>
      <c r="I1450" s="88">
        <v>210</v>
      </c>
      <c r="J1450" s="44" t="s">
        <v>27</v>
      </c>
    </row>
    <row r="1451" spans="1:10" ht="39.6" x14ac:dyDescent="0.25">
      <c r="A1451" s="39" t="s">
        <v>1291</v>
      </c>
      <c r="B1451" s="16" t="s">
        <v>1292</v>
      </c>
      <c r="C1451" s="16" t="s">
        <v>21</v>
      </c>
      <c r="D1451" s="17" t="s">
        <v>1293</v>
      </c>
      <c r="E1451" s="16" t="s">
        <v>588</v>
      </c>
      <c r="F1451" s="27">
        <v>33</v>
      </c>
      <c r="G1451" s="67">
        <v>23.54</v>
      </c>
      <c r="H1451" s="67">
        <v>28.38</v>
      </c>
      <c r="I1451" s="18">
        <v>936.54</v>
      </c>
      <c r="J1451" s="40">
        <v>5.3507044484013323E-5</v>
      </c>
    </row>
    <row r="1452" spans="1:10" x14ac:dyDescent="0.25">
      <c r="A1452" s="43" t="s">
        <v>24</v>
      </c>
      <c r="B1452" s="83"/>
      <c r="C1452" s="83"/>
      <c r="D1452" s="84" t="s">
        <v>3</v>
      </c>
      <c r="E1452" s="85" t="s">
        <v>25</v>
      </c>
      <c r="F1452" s="85"/>
      <c r="G1452" s="85"/>
      <c r="H1452" s="86"/>
      <c r="I1452" s="87" t="s">
        <v>1911</v>
      </c>
      <c r="J1452" s="44"/>
    </row>
    <row r="1453" spans="1:10" ht="26.4" x14ac:dyDescent="0.25">
      <c r="A1453" s="51"/>
      <c r="B1453" s="83"/>
      <c r="C1453" s="83"/>
      <c r="D1453" s="84" t="s">
        <v>837</v>
      </c>
      <c r="E1453" s="85">
        <f>33</f>
        <v>33</v>
      </c>
      <c r="F1453" s="85"/>
      <c r="G1453" s="85"/>
      <c r="H1453" s="85"/>
      <c r="I1453" s="88">
        <v>33</v>
      </c>
      <c r="J1453" s="44" t="s">
        <v>27</v>
      </c>
    </row>
    <row r="1454" spans="1:10" ht="39.6" x14ac:dyDescent="0.25">
      <c r="A1454" s="39" t="s">
        <v>1294</v>
      </c>
      <c r="B1454" s="16" t="s">
        <v>1295</v>
      </c>
      <c r="C1454" s="16" t="s">
        <v>21</v>
      </c>
      <c r="D1454" s="17" t="s">
        <v>1296</v>
      </c>
      <c r="E1454" s="16" t="s">
        <v>588</v>
      </c>
      <c r="F1454" s="27">
        <v>22</v>
      </c>
      <c r="G1454" s="67">
        <v>38.92</v>
      </c>
      <c r="H1454" s="67">
        <v>46.93</v>
      </c>
      <c r="I1454" s="18">
        <v>1032.46</v>
      </c>
      <c r="J1454" s="40">
        <v>5.8987211595836159E-5</v>
      </c>
    </row>
    <row r="1455" spans="1:10" x14ac:dyDescent="0.25">
      <c r="A1455" s="43" t="s">
        <v>24</v>
      </c>
      <c r="B1455" s="83"/>
      <c r="C1455" s="83"/>
      <c r="D1455" s="84" t="s">
        <v>3</v>
      </c>
      <c r="E1455" s="85" t="s">
        <v>25</v>
      </c>
      <c r="F1455" s="85"/>
      <c r="G1455" s="85"/>
      <c r="H1455" s="86"/>
      <c r="I1455" s="87" t="s">
        <v>1911</v>
      </c>
      <c r="J1455" s="44"/>
    </row>
    <row r="1456" spans="1:10" ht="26.4" x14ac:dyDescent="0.25">
      <c r="A1456" s="51"/>
      <c r="B1456" s="83"/>
      <c r="C1456" s="83"/>
      <c r="D1456" s="84" t="s">
        <v>837</v>
      </c>
      <c r="E1456" s="85">
        <f>22</f>
        <v>22</v>
      </c>
      <c r="F1456" s="85"/>
      <c r="G1456" s="85"/>
      <c r="H1456" s="85"/>
      <c r="I1456" s="88">
        <v>22</v>
      </c>
      <c r="J1456" s="44" t="s">
        <v>27</v>
      </c>
    </row>
    <row r="1457" spans="1:10" x14ac:dyDescent="0.25">
      <c r="A1457" s="39" t="s">
        <v>1297</v>
      </c>
      <c r="B1457" s="16" t="s">
        <v>1298</v>
      </c>
      <c r="C1457" s="16" t="s">
        <v>582</v>
      </c>
      <c r="D1457" s="17" t="s">
        <v>1299</v>
      </c>
      <c r="E1457" s="16" t="s">
        <v>588</v>
      </c>
      <c r="F1457" s="27">
        <v>4</v>
      </c>
      <c r="G1457" s="67">
        <v>21.94</v>
      </c>
      <c r="H1457" s="67">
        <v>26.45</v>
      </c>
      <c r="I1457" s="18">
        <v>105.8</v>
      </c>
      <c r="J1457" s="40">
        <v>6.0446380361849039E-6</v>
      </c>
    </row>
    <row r="1458" spans="1:10" x14ac:dyDescent="0.25">
      <c r="A1458" s="43" t="s">
        <v>24</v>
      </c>
      <c r="B1458" s="83"/>
      <c r="C1458" s="83"/>
      <c r="D1458" s="84" t="s">
        <v>3</v>
      </c>
      <c r="E1458" s="85" t="s">
        <v>25</v>
      </c>
      <c r="F1458" s="85"/>
      <c r="G1458" s="85"/>
      <c r="H1458" s="86"/>
      <c r="I1458" s="87" t="s">
        <v>1911</v>
      </c>
      <c r="J1458" s="44"/>
    </row>
    <row r="1459" spans="1:10" ht="26.4" x14ac:dyDescent="0.25">
      <c r="A1459" s="51"/>
      <c r="B1459" s="83"/>
      <c r="C1459" s="83"/>
      <c r="D1459" s="84" t="s">
        <v>837</v>
      </c>
      <c r="E1459" s="85">
        <f>4</f>
        <v>4</v>
      </c>
      <c r="F1459" s="85"/>
      <c r="G1459" s="85"/>
      <c r="H1459" s="85"/>
      <c r="I1459" s="88">
        <v>4</v>
      </c>
      <c r="J1459" s="44" t="s">
        <v>27</v>
      </c>
    </row>
    <row r="1460" spans="1:10" ht="26.4" x14ac:dyDescent="0.25">
      <c r="A1460" s="39" t="s">
        <v>1300</v>
      </c>
      <c r="B1460" s="16" t="s">
        <v>1301</v>
      </c>
      <c r="C1460" s="16" t="s">
        <v>56</v>
      </c>
      <c r="D1460" s="17" t="s">
        <v>1302</v>
      </c>
      <c r="E1460" s="16" t="s">
        <v>1083</v>
      </c>
      <c r="F1460" s="27">
        <v>4</v>
      </c>
      <c r="G1460" s="67">
        <v>21.42</v>
      </c>
      <c r="H1460" s="67">
        <v>25.83</v>
      </c>
      <c r="I1460" s="18">
        <v>103.32</v>
      </c>
      <c r="J1460" s="40">
        <v>5.9029489782478658E-6</v>
      </c>
    </row>
    <row r="1461" spans="1:10" x14ac:dyDescent="0.25">
      <c r="A1461" s="43" t="s">
        <v>24</v>
      </c>
      <c r="B1461" s="83"/>
      <c r="C1461" s="83"/>
      <c r="D1461" s="84" t="s">
        <v>3</v>
      </c>
      <c r="E1461" s="85" t="s">
        <v>25</v>
      </c>
      <c r="F1461" s="85"/>
      <c r="G1461" s="85"/>
      <c r="H1461" s="86"/>
      <c r="I1461" s="87" t="s">
        <v>1911</v>
      </c>
      <c r="J1461" s="44"/>
    </row>
    <row r="1462" spans="1:10" ht="26.4" x14ac:dyDescent="0.25">
      <c r="A1462" s="51"/>
      <c r="B1462" s="83"/>
      <c r="C1462" s="83"/>
      <c r="D1462" s="84" t="s">
        <v>837</v>
      </c>
      <c r="E1462" s="85">
        <f>4</f>
        <v>4</v>
      </c>
      <c r="F1462" s="85"/>
      <c r="G1462" s="85"/>
      <c r="H1462" s="85"/>
      <c r="I1462" s="88">
        <v>4</v>
      </c>
      <c r="J1462" s="44" t="s">
        <v>27</v>
      </c>
    </row>
    <row r="1463" spans="1:10" ht="39.6" x14ac:dyDescent="0.25">
      <c r="A1463" s="39" t="s">
        <v>1303</v>
      </c>
      <c r="B1463" s="16" t="s">
        <v>1304</v>
      </c>
      <c r="C1463" s="16" t="s">
        <v>21</v>
      </c>
      <c r="D1463" s="17" t="s">
        <v>1305</v>
      </c>
      <c r="E1463" s="16" t="s">
        <v>588</v>
      </c>
      <c r="F1463" s="27">
        <v>1</v>
      </c>
      <c r="G1463" s="67">
        <v>8.0500000000000007</v>
      </c>
      <c r="H1463" s="67">
        <v>9.6999999999999993</v>
      </c>
      <c r="I1463" s="18">
        <v>9.6999999999999993</v>
      </c>
      <c r="J1463" s="40">
        <v>5.5418704112470287E-7</v>
      </c>
    </row>
    <row r="1464" spans="1:10" x14ac:dyDescent="0.25">
      <c r="A1464" s="43" t="s">
        <v>24</v>
      </c>
      <c r="B1464" s="83"/>
      <c r="C1464" s="83"/>
      <c r="D1464" s="84" t="s">
        <v>3</v>
      </c>
      <c r="E1464" s="85" t="s">
        <v>25</v>
      </c>
      <c r="F1464" s="85"/>
      <c r="G1464" s="85"/>
      <c r="H1464" s="86"/>
      <c r="I1464" s="87" t="s">
        <v>1911</v>
      </c>
      <c r="J1464" s="44"/>
    </row>
    <row r="1465" spans="1:10" ht="26.4" x14ac:dyDescent="0.25">
      <c r="A1465" s="51"/>
      <c r="B1465" s="83"/>
      <c r="C1465" s="83"/>
      <c r="D1465" s="84" t="s">
        <v>837</v>
      </c>
      <c r="E1465" s="85">
        <f>1</f>
        <v>1</v>
      </c>
      <c r="F1465" s="85"/>
      <c r="G1465" s="85"/>
      <c r="H1465" s="85"/>
      <c r="I1465" s="88">
        <v>1</v>
      </c>
      <c r="J1465" s="44" t="s">
        <v>27</v>
      </c>
    </row>
    <row r="1466" spans="1:10" ht="39.6" x14ac:dyDescent="0.25">
      <c r="A1466" s="39" t="s">
        <v>1306</v>
      </c>
      <c r="B1466" s="16" t="s">
        <v>1307</v>
      </c>
      <c r="C1466" s="16" t="s">
        <v>21</v>
      </c>
      <c r="D1466" s="17" t="s">
        <v>1308</v>
      </c>
      <c r="E1466" s="16" t="s">
        <v>588</v>
      </c>
      <c r="F1466" s="27">
        <v>8</v>
      </c>
      <c r="G1466" s="67">
        <v>22.67</v>
      </c>
      <c r="H1466" s="67">
        <v>27.34</v>
      </c>
      <c r="I1466" s="18">
        <v>218.72</v>
      </c>
      <c r="J1466" s="40">
        <v>1.2496060787092269E-5</v>
      </c>
    </row>
    <row r="1467" spans="1:10" x14ac:dyDescent="0.25">
      <c r="A1467" s="43" t="s">
        <v>24</v>
      </c>
      <c r="B1467" s="83"/>
      <c r="C1467" s="83"/>
      <c r="D1467" s="84" t="s">
        <v>3</v>
      </c>
      <c r="E1467" s="85" t="s">
        <v>25</v>
      </c>
      <c r="F1467" s="85"/>
      <c r="G1467" s="85"/>
      <c r="H1467" s="86"/>
      <c r="I1467" s="87" t="s">
        <v>1911</v>
      </c>
      <c r="J1467" s="44"/>
    </row>
    <row r="1468" spans="1:10" ht="26.4" x14ac:dyDescent="0.25">
      <c r="A1468" s="51"/>
      <c r="B1468" s="83"/>
      <c r="C1468" s="83"/>
      <c r="D1468" s="84" t="s">
        <v>837</v>
      </c>
      <c r="E1468" s="85">
        <f>8</f>
        <v>8</v>
      </c>
      <c r="F1468" s="85"/>
      <c r="G1468" s="85"/>
      <c r="H1468" s="85"/>
      <c r="I1468" s="88">
        <v>8</v>
      </c>
      <c r="J1468" s="44" t="s">
        <v>27</v>
      </c>
    </row>
    <row r="1469" spans="1:10" ht="39.6" x14ac:dyDescent="0.25">
      <c r="A1469" s="39" t="s">
        <v>1309</v>
      </c>
      <c r="B1469" s="16" t="s">
        <v>1310</v>
      </c>
      <c r="C1469" s="16" t="s">
        <v>21</v>
      </c>
      <c r="D1469" s="17" t="s">
        <v>1311</v>
      </c>
      <c r="E1469" s="16" t="s">
        <v>588</v>
      </c>
      <c r="F1469" s="27">
        <v>21</v>
      </c>
      <c r="G1469" s="67">
        <v>22.15</v>
      </c>
      <c r="H1469" s="67">
        <v>26.71</v>
      </c>
      <c r="I1469" s="18">
        <v>560.91</v>
      </c>
      <c r="J1469" s="40">
        <v>3.2046294148170832E-5</v>
      </c>
    </row>
    <row r="1470" spans="1:10" x14ac:dyDescent="0.25">
      <c r="A1470" s="43" t="s">
        <v>24</v>
      </c>
      <c r="B1470" s="83"/>
      <c r="C1470" s="83"/>
      <c r="D1470" s="84" t="s">
        <v>3</v>
      </c>
      <c r="E1470" s="85" t="s">
        <v>25</v>
      </c>
      <c r="F1470" s="85"/>
      <c r="G1470" s="85"/>
      <c r="H1470" s="86"/>
      <c r="I1470" s="87" t="s">
        <v>1911</v>
      </c>
      <c r="J1470" s="44"/>
    </row>
    <row r="1471" spans="1:10" ht="26.4" x14ac:dyDescent="0.25">
      <c r="A1471" s="51"/>
      <c r="B1471" s="83"/>
      <c r="C1471" s="83"/>
      <c r="D1471" s="84" t="s">
        <v>837</v>
      </c>
      <c r="E1471" s="85">
        <f>21</f>
        <v>21</v>
      </c>
      <c r="F1471" s="85"/>
      <c r="G1471" s="85"/>
      <c r="H1471" s="85"/>
      <c r="I1471" s="88">
        <v>21</v>
      </c>
      <c r="J1471" s="44" t="s">
        <v>27</v>
      </c>
    </row>
    <row r="1472" spans="1:10" x14ac:dyDescent="0.25">
      <c r="A1472" s="39" t="s">
        <v>1312</v>
      </c>
      <c r="B1472" s="16" t="s">
        <v>1313</v>
      </c>
      <c r="C1472" s="16" t="s">
        <v>56</v>
      </c>
      <c r="D1472" s="17" t="s">
        <v>1314</v>
      </c>
      <c r="E1472" s="16" t="s">
        <v>1083</v>
      </c>
      <c r="F1472" s="27">
        <v>27</v>
      </c>
      <c r="G1472" s="67">
        <v>25.36</v>
      </c>
      <c r="H1472" s="67">
        <v>30.58</v>
      </c>
      <c r="I1472" s="18">
        <v>825.66</v>
      </c>
      <c r="J1472" s="40">
        <v>4.7172172409796104E-5</v>
      </c>
    </row>
    <row r="1473" spans="1:10" x14ac:dyDescent="0.25">
      <c r="A1473" s="43" t="s">
        <v>24</v>
      </c>
      <c r="B1473" s="83"/>
      <c r="C1473" s="83"/>
      <c r="D1473" s="84" t="s">
        <v>3</v>
      </c>
      <c r="E1473" s="85" t="s">
        <v>25</v>
      </c>
      <c r="F1473" s="85"/>
      <c r="G1473" s="85"/>
      <c r="H1473" s="86"/>
      <c r="I1473" s="87" t="s">
        <v>1911</v>
      </c>
      <c r="J1473" s="44"/>
    </row>
    <row r="1474" spans="1:10" ht="26.4" x14ac:dyDescent="0.25">
      <c r="A1474" s="51"/>
      <c r="B1474" s="83"/>
      <c r="C1474" s="83"/>
      <c r="D1474" s="84" t="s">
        <v>837</v>
      </c>
      <c r="E1474" s="85">
        <f>27</f>
        <v>27</v>
      </c>
      <c r="F1474" s="85"/>
      <c r="G1474" s="85"/>
      <c r="H1474" s="85"/>
      <c r="I1474" s="88">
        <v>27</v>
      </c>
      <c r="J1474" s="44" t="s">
        <v>27</v>
      </c>
    </row>
    <row r="1475" spans="1:10" ht="39.6" x14ac:dyDescent="0.25">
      <c r="A1475" s="39" t="s">
        <v>1315</v>
      </c>
      <c r="B1475" s="16" t="s">
        <v>1316</v>
      </c>
      <c r="C1475" s="16" t="s">
        <v>21</v>
      </c>
      <c r="D1475" s="17" t="s">
        <v>1317</v>
      </c>
      <c r="E1475" s="16" t="s">
        <v>588</v>
      </c>
      <c r="F1475" s="27">
        <v>11</v>
      </c>
      <c r="G1475" s="67">
        <v>40.42</v>
      </c>
      <c r="H1475" s="67">
        <v>48.74</v>
      </c>
      <c r="I1475" s="18">
        <v>536.14</v>
      </c>
      <c r="J1475" s="40">
        <v>3.0631117549340018E-5</v>
      </c>
    </row>
    <row r="1476" spans="1:10" x14ac:dyDescent="0.25">
      <c r="A1476" s="43" t="s">
        <v>24</v>
      </c>
      <c r="B1476" s="83"/>
      <c r="C1476" s="83"/>
      <c r="D1476" s="84" t="s">
        <v>3</v>
      </c>
      <c r="E1476" s="85" t="s">
        <v>25</v>
      </c>
      <c r="F1476" s="85"/>
      <c r="G1476" s="85"/>
      <c r="H1476" s="86"/>
      <c r="I1476" s="87" t="s">
        <v>1911</v>
      </c>
      <c r="J1476" s="44"/>
    </row>
    <row r="1477" spans="1:10" ht="26.4" x14ac:dyDescent="0.25">
      <c r="A1477" s="51"/>
      <c r="B1477" s="83"/>
      <c r="C1477" s="83"/>
      <c r="D1477" s="84" t="s">
        <v>837</v>
      </c>
      <c r="E1477" s="85">
        <f>11</f>
        <v>11</v>
      </c>
      <c r="F1477" s="85"/>
      <c r="G1477" s="85"/>
      <c r="H1477" s="85"/>
      <c r="I1477" s="88">
        <v>11</v>
      </c>
      <c r="J1477" s="44" t="s">
        <v>27</v>
      </c>
    </row>
    <row r="1478" spans="1:10" ht="26.4" x14ac:dyDescent="0.25">
      <c r="A1478" s="39" t="s">
        <v>1318</v>
      </c>
      <c r="B1478" s="16" t="s">
        <v>1319</v>
      </c>
      <c r="C1478" s="16" t="s">
        <v>56</v>
      </c>
      <c r="D1478" s="17" t="s">
        <v>1320</v>
      </c>
      <c r="E1478" s="16" t="s">
        <v>1083</v>
      </c>
      <c r="F1478" s="27">
        <v>2</v>
      </c>
      <c r="G1478" s="67">
        <v>60.04</v>
      </c>
      <c r="H1478" s="67">
        <v>72.400000000000006</v>
      </c>
      <c r="I1478" s="18">
        <v>144.80000000000001</v>
      </c>
      <c r="J1478" s="40">
        <v>8.2728127376141215E-6</v>
      </c>
    </row>
    <row r="1479" spans="1:10" x14ac:dyDescent="0.25">
      <c r="A1479" s="43" t="s">
        <v>24</v>
      </c>
      <c r="B1479" s="83"/>
      <c r="C1479" s="83"/>
      <c r="D1479" s="84" t="s">
        <v>3</v>
      </c>
      <c r="E1479" s="85" t="s">
        <v>25</v>
      </c>
      <c r="F1479" s="85"/>
      <c r="G1479" s="85"/>
      <c r="H1479" s="86"/>
      <c r="I1479" s="87" t="s">
        <v>1911</v>
      </c>
      <c r="J1479" s="44"/>
    </row>
    <row r="1480" spans="1:10" ht="26.4" x14ac:dyDescent="0.25">
      <c r="A1480" s="51"/>
      <c r="B1480" s="83"/>
      <c r="C1480" s="83"/>
      <c r="D1480" s="84" t="s">
        <v>837</v>
      </c>
      <c r="E1480" s="85">
        <f>2</f>
        <v>2</v>
      </c>
      <c r="F1480" s="85"/>
      <c r="G1480" s="85"/>
      <c r="H1480" s="85"/>
      <c r="I1480" s="88">
        <v>2</v>
      </c>
      <c r="J1480" s="44" t="s">
        <v>27</v>
      </c>
    </row>
    <row r="1481" spans="1:10" x14ac:dyDescent="0.25">
      <c r="A1481" s="39" t="s">
        <v>1321</v>
      </c>
      <c r="B1481" s="16" t="s">
        <v>1322</v>
      </c>
      <c r="C1481" s="16" t="s">
        <v>56</v>
      </c>
      <c r="D1481" s="17" t="s">
        <v>1323</v>
      </c>
      <c r="E1481" s="16" t="s">
        <v>1083</v>
      </c>
      <c r="F1481" s="27">
        <v>3</v>
      </c>
      <c r="G1481" s="67">
        <v>121.21</v>
      </c>
      <c r="H1481" s="67">
        <v>146.16999999999999</v>
      </c>
      <c r="I1481" s="18">
        <v>438.51</v>
      </c>
      <c r="J1481" s="40">
        <v>2.5053253546762211E-5</v>
      </c>
    </row>
    <row r="1482" spans="1:10" x14ac:dyDescent="0.25">
      <c r="A1482" s="43" t="s">
        <v>24</v>
      </c>
      <c r="B1482" s="83"/>
      <c r="C1482" s="83"/>
      <c r="D1482" s="84" t="s">
        <v>3</v>
      </c>
      <c r="E1482" s="85" t="s">
        <v>25</v>
      </c>
      <c r="F1482" s="85"/>
      <c r="G1482" s="85"/>
      <c r="H1482" s="86"/>
      <c r="I1482" s="87" t="s">
        <v>1911</v>
      </c>
      <c r="J1482" s="44"/>
    </row>
    <row r="1483" spans="1:10" ht="26.4" x14ac:dyDescent="0.25">
      <c r="A1483" s="51"/>
      <c r="B1483" s="83"/>
      <c r="C1483" s="83"/>
      <c r="D1483" s="84" t="s">
        <v>837</v>
      </c>
      <c r="E1483" s="85">
        <f>3</f>
        <v>3</v>
      </c>
      <c r="F1483" s="85"/>
      <c r="G1483" s="85"/>
      <c r="H1483" s="85"/>
      <c r="I1483" s="88">
        <v>3</v>
      </c>
      <c r="J1483" s="44" t="s">
        <v>27</v>
      </c>
    </row>
    <row r="1484" spans="1:10" ht="52.8" x14ac:dyDescent="0.25">
      <c r="A1484" s="39" t="s">
        <v>1324</v>
      </c>
      <c r="B1484" s="16" t="s">
        <v>1325</v>
      </c>
      <c r="C1484" s="16" t="s">
        <v>21</v>
      </c>
      <c r="D1484" s="17" t="s">
        <v>1326</v>
      </c>
      <c r="E1484" s="16" t="s">
        <v>588</v>
      </c>
      <c r="F1484" s="27">
        <v>2</v>
      </c>
      <c r="G1484" s="67">
        <v>136.66999999999999</v>
      </c>
      <c r="H1484" s="67">
        <v>164.82</v>
      </c>
      <c r="I1484" s="18">
        <v>329.64</v>
      </c>
      <c r="J1484" s="40">
        <v>1.8833218168695574E-5</v>
      </c>
    </row>
    <row r="1485" spans="1:10" x14ac:dyDescent="0.25">
      <c r="A1485" s="43" t="s">
        <v>24</v>
      </c>
      <c r="B1485" s="83"/>
      <c r="C1485" s="83"/>
      <c r="D1485" s="84" t="s">
        <v>3</v>
      </c>
      <c r="E1485" s="85" t="s">
        <v>25</v>
      </c>
      <c r="F1485" s="85"/>
      <c r="G1485" s="85"/>
      <c r="H1485" s="86"/>
      <c r="I1485" s="87" t="s">
        <v>1911</v>
      </c>
      <c r="J1485" s="44"/>
    </row>
    <row r="1486" spans="1:10" ht="26.4" x14ac:dyDescent="0.25">
      <c r="A1486" s="51"/>
      <c r="B1486" s="83"/>
      <c r="C1486" s="83"/>
      <c r="D1486" s="84" t="s">
        <v>837</v>
      </c>
      <c r="E1486" s="85">
        <f>2</f>
        <v>2</v>
      </c>
      <c r="F1486" s="85"/>
      <c r="G1486" s="85"/>
      <c r="H1486" s="85"/>
      <c r="I1486" s="88">
        <v>2</v>
      </c>
      <c r="J1486" s="44" t="s">
        <v>27</v>
      </c>
    </row>
    <row r="1487" spans="1:10" ht="39.6" x14ac:dyDescent="0.25">
      <c r="A1487" s="39" t="s">
        <v>1327</v>
      </c>
      <c r="B1487" s="16" t="s">
        <v>1328</v>
      </c>
      <c r="C1487" s="16" t="s">
        <v>21</v>
      </c>
      <c r="D1487" s="17" t="s">
        <v>1329</v>
      </c>
      <c r="E1487" s="16" t="s">
        <v>588</v>
      </c>
      <c r="F1487" s="27">
        <v>4</v>
      </c>
      <c r="G1487" s="67">
        <v>98.95</v>
      </c>
      <c r="H1487" s="67">
        <v>119.33</v>
      </c>
      <c r="I1487" s="18">
        <v>477.32</v>
      </c>
      <c r="J1487" s="40">
        <v>2.7270573038107544E-5</v>
      </c>
    </row>
    <row r="1488" spans="1:10" x14ac:dyDescent="0.25">
      <c r="A1488" s="43" t="s">
        <v>24</v>
      </c>
      <c r="B1488" s="83"/>
      <c r="C1488" s="83"/>
      <c r="D1488" s="84" t="s">
        <v>3</v>
      </c>
      <c r="E1488" s="85" t="s">
        <v>25</v>
      </c>
      <c r="F1488" s="85"/>
      <c r="G1488" s="85"/>
      <c r="H1488" s="86"/>
      <c r="I1488" s="87" t="s">
        <v>1911</v>
      </c>
      <c r="J1488" s="44"/>
    </row>
    <row r="1489" spans="1:10" ht="26.4" x14ac:dyDescent="0.25">
      <c r="A1489" s="51"/>
      <c r="B1489" s="83"/>
      <c r="C1489" s="83"/>
      <c r="D1489" s="84" t="s">
        <v>837</v>
      </c>
      <c r="E1489" s="85">
        <f>4</f>
        <v>4</v>
      </c>
      <c r="F1489" s="85"/>
      <c r="G1489" s="85"/>
      <c r="H1489" s="85"/>
      <c r="I1489" s="88">
        <v>4</v>
      </c>
      <c r="J1489" s="44" t="s">
        <v>27</v>
      </c>
    </row>
    <row r="1490" spans="1:10" ht="52.8" x14ac:dyDescent="0.25">
      <c r="A1490" s="39" t="s">
        <v>1330</v>
      </c>
      <c r="B1490" s="16" t="s">
        <v>1331</v>
      </c>
      <c r="C1490" s="16" t="s">
        <v>21</v>
      </c>
      <c r="D1490" s="17" t="s">
        <v>1332</v>
      </c>
      <c r="E1490" s="16" t="s">
        <v>588</v>
      </c>
      <c r="F1490" s="27">
        <v>1</v>
      </c>
      <c r="G1490" s="67">
        <v>172.68</v>
      </c>
      <c r="H1490" s="67">
        <v>208.25</v>
      </c>
      <c r="I1490" s="18">
        <v>208.25</v>
      </c>
      <c r="J1490" s="40">
        <v>1.1897881578785502E-5</v>
      </c>
    </row>
    <row r="1491" spans="1:10" x14ac:dyDescent="0.25">
      <c r="A1491" s="43" t="s">
        <v>24</v>
      </c>
      <c r="B1491" s="83"/>
      <c r="C1491" s="83"/>
      <c r="D1491" s="84" t="s">
        <v>3</v>
      </c>
      <c r="E1491" s="85" t="s">
        <v>25</v>
      </c>
      <c r="F1491" s="85"/>
      <c r="G1491" s="85"/>
      <c r="H1491" s="86"/>
      <c r="I1491" s="87" t="s">
        <v>1911</v>
      </c>
      <c r="J1491" s="44"/>
    </row>
    <row r="1492" spans="1:10" ht="26.4" x14ac:dyDescent="0.25">
      <c r="A1492" s="51"/>
      <c r="B1492" s="83"/>
      <c r="C1492" s="83"/>
      <c r="D1492" s="84" t="s">
        <v>837</v>
      </c>
      <c r="E1492" s="85">
        <f>1</f>
        <v>1</v>
      </c>
      <c r="F1492" s="85"/>
      <c r="G1492" s="85"/>
      <c r="H1492" s="85"/>
      <c r="I1492" s="88">
        <v>1</v>
      </c>
      <c r="J1492" s="44" t="s">
        <v>27</v>
      </c>
    </row>
    <row r="1493" spans="1:10" x14ac:dyDescent="0.25">
      <c r="A1493" s="41" t="s">
        <v>1333</v>
      </c>
      <c r="B1493" s="13"/>
      <c r="C1493" s="13"/>
      <c r="D1493" s="14" t="s">
        <v>1334</v>
      </c>
      <c r="E1493" s="14"/>
      <c r="F1493" s="26">
        <v>1</v>
      </c>
      <c r="G1493" s="66"/>
      <c r="H1493" s="66"/>
      <c r="I1493" s="15">
        <v>25035.34</v>
      </c>
      <c r="J1493" s="42">
        <v>1.4303361853763834E-3</v>
      </c>
    </row>
    <row r="1494" spans="1:10" x14ac:dyDescent="0.25">
      <c r="A1494" s="39" t="s">
        <v>1335</v>
      </c>
      <c r="B1494" s="16" t="s">
        <v>1336</v>
      </c>
      <c r="C1494" s="16" t="s">
        <v>56</v>
      </c>
      <c r="D1494" s="17" t="s">
        <v>1337</v>
      </c>
      <c r="E1494" s="16" t="s">
        <v>1083</v>
      </c>
      <c r="F1494" s="27">
        <v>10</v>
      </c>
      <c r="G1494" s="67">
        <v>179.43</v>
      </c>
      <c r="H1494" s="67">
        <v>216.39</v>
      </c>
      <c r="I1494" s="18">
        <v>2163.9</v>
      </c>
      <c r="J1494" s="40">
        <v>1.2362941631853037E-4</v>
      </c>
    </row>
    <row r="1495" spans="1:10" x14ac:dyDescent="0.25">
      <c r="A1495" s="43" t="s">
        <v>24</v>
      </c>
      <c r="B1495" s="83"/>
      <c r="C1495" s="83"/>
      <c r="D1495" s="84" t="s">
        <v>3</v>
      </c>
      <c r="E1495" s="85" t="s">
        <v>25</v>
      </c>
      <c r="F1495" s="85"/>
      <c r="G1495" s="85"/>
      <c r="H1495" s="86"/>
      <c r="I1495" s="87" t="s">
        <v>1911</v>
      </c>
      <c r="J1495" s="44"/>
    </row>
    <row r="1496" spans="1:10" ht="26.4" x14ac:dyDescent="0.25">
      <c r="A1496" s="51"/>
      <c r="B1496" s="83"/>
      <c r="C1496" s="83"/>
      <c r="D1496" s="84" t="s">
        <v>837</v>
      </c>
      <c r="E1496" s="85">
        <f>10</f>
        <v>10</v>
      </c>
      <c r="F1496" s="85"/>
      <c r="G1496" s="85"/>
      <c r="H1496" s="85"/>
      <c r="I1496" s="88">
        <v>10</v>
      </c>
      <c r="J1496" s="44" t="s">
        <v>27</v>
      </c>
    </row>
    <row r="1497" spans="1:10" ht="39.6" x14ac:dyDescent="0.25">
      <c r="A1497" s="39" t="s">
        <v>1338</v>
      </c>
      <c r="B1497" s="16" t="s">
        <v>1165</v>
      </c>
      <c r="C1497" s="16" t="s">
        <v>21</v>
      </c>
      <c r="D1497" s="17" t="s">
        <v>1166</v>
      </c>
      <c r="E1497" s="16" t="s">
        <v>588</v>
      </c>
      <c r="F1497" s="27">
        <v>29</v>
      </c>
      <c r="G1497" s="67">
        <v>508.61</v>
      </c>
      <c r="H1497" s="67">
        <v>613.38</v>
      </c>
      <c r="I1497" s="18">
        <v>17788.02</v>
      </c>
      <c r="J1497" s="40">
        <v>1.0162773372440245E-3</v>
      </c>
    </row>
    <row r="1498" spans="1:10" x14ac:dyDescent="0.25">
      <c r="A1498" s="43" t="s">
        <v>24</v>
      </c>
      <c r="B1498" s="83"/>
      <c r="C1498" s="83"/>
      <c r="D1498" s="84" t="s">
        <v>3</v>
      </c>
      <c r="E1498" s="85" t="s">
        <v>25</v>
      </c>
      <c r="F1498" s="85"/>
      <c r="G1498" s="85"/>
      <c r="H1498" s="86"/>
      <c r="I1498" s="87" t="s">
        <v>1911</v>
      </c>
      <c r="J1498" s="44"/>
    </row>
    <row r="1499" spans="1:10" ht="26.4" x14ac:dyDescent="0.25">
      <c r="A1499" s="51"/>
      <c r="B1499" s="83"/>
      <c r="C1499" s="83"/>
      <c r="D1499" s="84" t="s">
        <v>837</v>
      </c>
      <c r="E1499" s="85">
        <f>29</f>
        <v>29</v>
      </c>
      <c r="F1499" s="85"/>
      <c r="G1499" s="85"/>
      <c r="H1499" s="85"/>
      <c r="I1499" s="88">
        <v>29</v>
      </c>
      <c r="J1499" s="44" t="s">
        <v>27</v>
      </c>
    </row>
    <row r="1500" spans="1:10" x14ac:dyDescent="0.25">
      <c r="A1500" s="39" t="s">
        <v>1339</v>
      </c>
      <c r="B1500" s="16" t="s">
        <v>1340</v>
      </c>
      <c r="C1500" s="16" t="s">
        <v>582</v>
      </c>
      <c r="D1500" s="17" t="s">
        <v>1341</v>
      </c>
      <c r="E1500" s="16" t="s">
        <v>588</v>
      </c>
      <c r="F1500" s="27">
        <v>37</v>
      </c>
      <c r="G1500" s="67">
        <v>66.569999999999993</v>
      </c>
      <c r="H1500" s="67">
        <v>80.28</v>
      </c>
      <c r="I1500" s="18">
        <v>2970.36</v>
      </c>
      <c r="J1500" s="40">
        <v>1.6970464118300747E-4</v>
      </c>
    </row>
    <row r="1501" spans="1:10" x14ac:dyDescent="0.25">
      <c r="A1501" s="43" t="s">
        <v>24</v>
      </c>
      <c r="B1501" s="83"/>
      <c r="C1501" s="83"/>
      <c r="D1501" s="84" t="s">
        <v>3</v>
      </c>
      <c r="E1501" s="85" t="s">
        <v>25</v>
      </c>
      <c r="F1501" s="85"/>
      <c r="G1501" s="85"/>
      <c r="H1501" s="86"/>
      <c r="I1501" s="87" t="s">
        <v>1911</v>
      </c>
      <c r="J1501" s="44"/>
    </row>
    <row r="1502" spans="1:10" ht="26.4" x14ac:dyDescent="0.25">
      <c r="A1502" s="51"/>
      <c r="B1502" s="83"/>
      <c r="C1502" s="83"/>
      <c r="D1502" s="84" t="s">
        <v>837</v>
      </c>
      <c r="E1502" s="85">
        <f>37</f>
        <v>37</v>
      </c>
      <c r="F1502" s="85"/>
      <c r="G1502" s="85"/>
      <c r="H1502" s="85"/>
      <c r="I1502" s="88">
        <v>37</v>
      </c>
      <c r="J1502" s="44" t="s">
        <v>27</v>
      </c>
    </row>
    <row r="1503" spans="1:10" ht="39.6" x14ac:dyDescent="0.25">
      <c r="A1503" s="39" t="s">
        <v>1342</v>
      </c>
      <c r="B1503" s="16" t="s">
        <v>1343</v>
      </c>
      <c r="C1503" s="16" t="s">
        <v>21</v>
      </c>
      <c r="D1503" s="17" t="s">
        <v>1344</v>
      </c>
      <c r="E1503" s="16" t="s">
        <v>588</v>
      </c>
      <c r="F1503" s="27">
        <v>12</v>
      </c>
      <c r="G1503" s="67">
        <v>17.899999999999999</v>
      </c>
      <c r="H1503" s="67">
        <v>21.58</v>
      </c>
      <c r="I1503" s="18">
        <v>258.95999999999998</v>
      </c>
      <c r="J1503" s="40">
        <v>1.4795080017490006E-5</v>
      </c>
    </row>
    <row r="1504" spans="1:10" x14ac:dyDescent="0.25">
      <c r="A1504" s="43" t="s">
        <v>24</v>
      </c>
      <c r="B1504" s="83"/>
      <c r="C1504" s="83"/>
      <c r="D1504" s="84" t="s">
        <v>3</v>
      </c>
      <c r="E1504" s="85" t="s">
        <v>25</v>
      </c>
      <c r="F1504" s="85"/>
      <c r="G1504" s="85"/>
      <c r="H1504" s="86"/>
      <c r="I1504" s="87" t="s">
        <v>1911</v>
      </c>
      <c r="J1504" s="44"/>
    </row>
    <row r="1505" spans="1:10" ht="26.4" x14ac:dyDescent="0.25">
      <c r="A1505" s="51"/>
      <c r="B1505" s="83"/>
      <c r="C1505" s="83"/>
      <c r="D1505" s="84" t="s">
        <v>837</v>
      </c>
      <c r="E1505" s="85">
        <f>12</f>
        <v>12</v>
      </c>
      <c r="F1505" s="85"/>
      <c r="G1505" s="85"/>
      <c r="H1505" s="85"/>
      <c r="I1505" s="88">
        <v>12</v>
      </c>
      <c r="J1505" s="44" t="s">
        <v>27</v>
      </c>
    </row>
    <row r="1506" spans="1:10" x14ac:dyDescent="0.25">
      <c r="A1506" s="39" t="s">
        <v>1345</v>
      </c>
      <c r="B1506" s="16" t="s">
        <v>1346</v>
      </c>
      <c r="C1506" s="16" t="s">
        <v>56</v>
      </c>
      <c r="D1506" s="17" t="s">
        <v>1347</v>
      </c>
      <c r="E1506" s="16" t="s">
        <v>1083</v>
      </c>
      <c r="F1506" s="27">
        <v>11</v>
      </c>
      <c r="G1506" s="67">
        <v>88.27</v>
      </c>
      <c r="H1506" s="67">
        <v>106.45</v>
      </c>
      <c r="I1506" s="18">
        <v>1170.95</v>
      </c>
      <c r="J1506" s="40">
        <v>6.6899517093295968E-5</v>
      </c>
    </row>
    <row r="1507" spans="1:10" x14ac:dyDescent="0.25">
      <c r="A1507" s="43" t="s">
        <v>24</v>
      </c>
      <c r="B1507" s="83"/>
      <c r="C1507" s="83"/>
      <c r="D1507" s="84" t="s">
        <v>3</v>
      </c>
      <c r="E1507" s="85" t="s">
        <v>25</v>
      </c>
      <c r="F1507" s="85"/>
      <c r="G1507" s="85"/>
      <c r="H1507" s="86"/>
      <c r="I1507" s="87" t="s">
        <v>1911</v>
      </c>
      <c r="J1507" s="44"/>
    </row>
    <row r="1508" spans="1:10" ht="26.4" x14ac:dyDescent="0.25">
      <c r="A1508" s="51"/>
      <c r="B1508" s="83"/>
      <c r="C1508" s="83"/>
      <c r="D1508" s="84" t="s">
        <v>837</v>
      </c>
      <c r="E1508" s="85">
        <f>11</f>
        <v>11</v>
      </c>
      <c r="F1508" s="85"/>
      <c r="G1508" s="85"/>
      <c r="H1508" s="85"/>
      <c r="I1508" s="88">
        <v>11</v>
      </c>
      <c r="J1508" s="44" t="s">
        <v>27</v>
      </c>
    </row>
    <row r="1509" spans="1:10" x14ac:dyDescent="0.25">
      <c r="A1509" s="39" t="s">
        <v>1348</v>
      </c>
      <c r="B1509" s="16" t="s">
        <v>1349</v>
      </c>
      <c r="C1509" s="16" t="s">
        <v>43</v>
      </c>
      <c r="D1509" s="17" t="s">
        <v>1350</v>
      </c>
      <c r="E1509" s="16" t="s">
        <v>23</v>
      </c>
      <c r="F1509" s="27">
        <v>2.38</v>
      </c>
      <c r="G1509" s="67">
        <v>238.01</v>
      </c>
      <c r="H1509" s="67">
        <v>287.04000000000002</v>
      </c>
      <c r="I1509" s="18">
        <v>683.15</v>
      </c>
      <c r="J1509" s="40">
        <v>3.9030193520035131E-5</v>
      </c>
    </row>
    <row r="1510" spans="1:10" x14ac:dyDescent="0.25">
      <c r="A1510" s="43" t="s">
        <v>24</v>
      </c>
      <c r="B1510" s="83"/>
      <c r="C1510" s="83"/>
      <c r="D1510" s="84" t="s">
        <v>3</v>
      </c>
      <c r="E1510" s="85" t="s">
        <v>25</v>
      </c>
      <c r="F1510" s="85"/>
      <c r="G1510" s="85"/>
      <c r="H1510" s="86"/>
      <c r="I1510" s="87" t="s">
        <v>1911</v>
      </c>
      <c r="J1510" s="44"/>
    </row>
    <row r="1511" spans="1:10" ht="26.4" x14ac:dyDescent="0.25">
      <c r="A1511" s="51"/>
      <c r="B1511" s="83"/>
      <c r="C1511" s="83"/>
      <c r="D1511" s="84" t="s">
        <v>837</v>
      </c>
      <c r="E1511" s="85">
        <f>2.38</f>
        <v>2.38</v>
      </c>
      <c r="F1511" s="85"/>
      <c r="G1511" s="85"/>
      <c r="H1511" s="85"/>
      <c r="I1511" s="88">
        <v>2.38</v>
      </c>
      <c r="J1511" s="44" t="s">
        <v>27</v>
      </c>
    </row>
    <row r="1512" spans="1:10" x14ac:dyDescent="0.25">
      <c r="A1512" s="41" t="s">
        <v>1351</v>
      </c>
      <c r="B1512" s="13"/>
      <c r="C1512" s="13"/>
      <c r="D1512" s="14" t="s">
        <v>1352</v>
      </c>
      <c r="E1512" s="14"/>
      <c r="F1512" s="26">
        <v>1</v>
      </c>
      <c r="G1512" s="66"/>
      <c r="H1512" s="66"/>
      <c r="I1512" s="15">
        <v>321383.06</v>
      </c>
      <c r="J1512" s="42">
        <v>1.8361477019484831E-2</v>
      </c>
    </row>
    <row r="1513" spans="1:10" ht="39.6" x14ac:dyDescent="0.25">
      <c r="A1513" s="39" t="s">
        <v>1353</v>
      </c>
      <c r="B1513" s="16" t="s">
        <v>1165</v>
      </c>
      <c r="C1513" s="16" t="s">
        <v>21</v>
      </c>
      <c r="D1513" s="17" t="s">
        <v>1166</v>
      </c>
      <c r="E1513" s="16" t="s">
        <v>588</v>
      </c>
      <c r="F1513" s="27">
        <v>5</v>
      </c>
      <c r="G1513" s="67">
        <v>508.61</v>
      </c>
      <c r="H1513" s="67">
        <v>613.38</v>
      </c>
      <c r="I1513" s="18">
        <v>3066.9</v>
      </c>
      <c r="J1513" s="40">
        <v>1.7522023055931455E-4</v>
      </c>
    </row>
    <row r="1514" spans="1:10" ht="26.4" x14ac:dyDescent="0.25">
      <c r="A1514" s="39" t="s">
        <v>1354</v>
      </c>
      <c r="B1514" s="16" t="s">
        <v>1355</v>
      </c>
      <c r="C1514" s="16" t="s">
        <v>21</v>
      </c>
      <c r="D1514" s="17" t="s">
        <v>1356</v>
      </c>
      <c r="E1514" s="16" t="s">
        <v>588</v>
      </c>
      <c r="F1514" s="27">
        <v>46</v>
      </c>
      <c r="G1514" s="67">
        <v>486.77</v>
      </c>
      <c r="H1514" s="67">
        <v>587.04</v>
      </c>
      <c r="I1514" s="18">
        <v>27003.84</v>
      </c>
      <c r="J1514" s="40">
        <v>1.5428018751139068E-3</v>
      </c>
    </row>
    <row r="1515" spans="1:10" ht="26.4" x14ac:dyDescent="0.25">
      <c r="A1515" s="39" t="s">
        <v>1357</v>
      </c>
      <c r="B1515" s="16" t="s">
        <v>1358</v>
      </c>
      <c r="C1515" s="16" t="s">
        <v>21</v>
      </c>
      <c r="D1515" s="17" t="s">
        <v>1359</v>
      </c>
      <c r="E1515" s="16" t="s">
        <v>588</v>
      </c>
      <c r="F1515" s="27">
        <v>2</v>
      </c>
      <c r="G1515" s="67">
        <v>109.19</v>
      </c>
      <c r="H1515" s="67">
        <v>131.68</v>
      </c>
      <c r="I1515" s="18">
        <v>263.36</v>
      </c>
      <c r="J1515" s="40">
        <v>1.5046463829958943E-5</v>
      </c>
    </row>
    <row r="1516" spans="1:10" x14ac:dyDescent="0.25">
      <c r="A1516" s="39" t="s">
        <v>1360</v>
      </c>
      <c r="B1516" s="16" t="s">
        <v>1361</v>
      </c>
      <c r="C1516" s="16" t="s">
        <v>43</v>
      </c>
      <c r="D1516" s="17" t="s">
        <v>1362</v>
      </c>
      <c r="E1516" s="16" t="s">
        <v>588</v>
      </c>
      <c r="F1516" s="27">
        <v>10</v>
      </c>
      <c r="G1516" s="67">
        <v>13.88</v>
      </c>
      <c r="H1516" s="67">
        <v>16.73</v>
      </c>
      <c r="I1516" s="18">
        <v>167.3</v>
      </c>
      <c r="J1516" s="40">
        <v>9.558298142284824E-6</v>
      </c>
    </row>
    <row r="1517" spans="1:10" ht="26.4" x14ac:dyDescent="0.25">
      <c r="A1517" s="39" t="s">
        <v>1363</v>
      </c>
      <c r="B1517" s="16" t="s">
        <v>1364</v>
      </c>
      <c r="C1517" s="16" t="s">
        <v>582</v>
      </c>
      <c r="D1517" s="17" t="s">
        <v>1365</v>
      </c>
      <c r="E1517" s="16" t="s">
        <v>588</v>
      </c>
      <c r="F1517" s="27">
        <v>1</v>
      </c>
      <c r="G1517" s="67">
        <v>4195.05</v>
      </c>
      <c r="H1517" s="67">
        <v>5059.2299999999996</v>
      </c>
      <c r="I1517" s="18">
        <v>5059.2299999999996</v>
      </c>
      <c r="J1517" s="40">
        <v>2.8904739217209592E-4</v>
      </c>
    </row>
    <row r="1518" spans="1:10" ht="26.4" x14ac:dyDescent="0.25">
      <c r="A1518" s="39" t="s">
        <v>1366</v>
      </c>
      <c r="B1518" s="16" t="s">
        <v>1367</v>
      </c>
      <c r="C1518" s="16" t="s">
        <v>21</v>
      </c>
      <c r="D1518" s="17" t="s">
        <v>1368</v>
      </c>
      <c r="E1518" s="16" t="s">
        <v>588</v>
      </c>
      <c r="F1518" s="27">
        <v>6</v>
      </c>
      <c r="G1518" s="67">
        <v>717.63</v>
      </c>
      <c r="H1518" s="67">
        <v>865.46</v>
      </c>
      <c r="I1518" s="18">
        <v>5192.76</v>
      </c>
      <c r="J1518" s="40">
        <v>2.9667631955368164E-4</v>
      </c>
    </row>
    <row r="1519" spans="1:10" ht="26.4" x14ac:dyDescent="0.25">
      <c r="A1519" s="39" t="s">
        <v>1369</v>
      </c>
      <c r="B1519" s="16" t="s">
        <v>1370</v>
      </c>
      <c r="C1519" s="16" t="s">
        <v>14</v>
      </c>
      <c r="D1519" s="17" t="s">
        <v>1371</v>
      </c>
      <c r="E1519" s="16" t="s">
        <v>16</v>
      </c>
      <c r="F1519" s="27">
        <v>17</v>
      </c>
      <c r="G1519" s="67">
        <v>47.46</v>
      </c>
      <c r="H1519" s="67">
        <v>57.23</v>
      </c>
      <c r="I1519" s="18">
        <v>972.91</v>
      </c>
      <c r="J1519" s="40">
        <v>5.5584960224807695E-5</v>
      </c>
    </row>
    <row r="1520" spans="1:10" ht="26.4" x14ac:dyDescent="0.25">
      <c r="A1520" s="39" t="s">
        <v>1372</v>
      </c>
      <c r="B1520" s="16" t="s">
        <v>1373</v>
      </c>
      <c r="C1520" s="16" t="s">
        <v>21</v>
      </c>
      <c r="D1520" s="17" t="s">
        <v>1374</v>
      </c>
      <c r="E1520" s="16" t="s">
        <v>588</v>
      </c>
      <c r="F1520" s="27">
        <v>44</v>
      </c>
      <c r="G1520" s="67">
        <v>69.84</v>
      </c>
      <c r="H1520" s="67">
        <v>84.22</v>
      </c>
      <c r="I1520" s="18">
        <v>3705.68</v>
      </c>
      <c r="J1520" s="40">
        <v>2.1171544686133907E-4</v>
      </c>
    </row>
    <row r="1521" spans="1:10" ht="52.8" x14ac:dyDescent="0.25">
      <c r="A1521" s="39" t="s">
        <v>1375</v>
      </c>
      <c r="B1521" s="16" t="s">
        <v>1376</v>
      </c>
      <c r="C1521" s="16" t="s">
        <v>21</v>
      </c>
      <c r="D1521" s="17" t="s">
        <v>1377</v>
      </c>
      <c r="E1521" s="16" t="s">
        <v>588</v>
      </c>
      <c r="F1521" s="27">
        <v>6</v>
      </c>
      <c r="G1521" s="67">
        <v>934</v>
      </c>
      <c r="H1521" s="67">
        <v>1126.4000000000001</v>
      </c>
      <c r="I1521" s="18">
        <v>6758.4</v>
      </c>
      <c r="J1521" s="40">
        <v>3.8612553595228783E-4</v>
      </c>
    </row>
    <row r="1522" spans="1:10" ht="26.4" x14ac:dyDescent="0.25">
      <c r="A1522" s="39" t="s">
        <v>1378</v>
      </c>
      <c r="B1522" s="16" t="s">
        <v>1379</v>
      </c>
      <c r="C1522" s="16" t="s">
        <v>21</v>
      </c>
      <c r="D1522" s="17" t="s">
        <v>1380</v>
      </c>
      <c r="E1522" s="16" t="s">
        <v>588</v>
      </c>
      <c r="F1522" s="27">
        <v>97</v>
      </c>
      <c r="G1522" s="67">
        <v>10.66</v>
      </c>
      <c r="H1522" s="67">
        <v>12.85</v>
      </c>
      <c r="I1522" s="18">
        <v>1246.45</v>
      </c>
      <c r="J1522" s="40">
        <v>7.1213034784524325E-5</v>
      </c>
    </row>
    <row r="1523" spans="1:10" ht="39.6" x14ac:dyDescent="0.25">
      <c r="A1523" s="39" t="s">
        <v>1381</v>
      </c>
      <c r="B1523" s="16" t="s">
        <v>1382</v>
      </c>
      <c r="C1523" s="16" t="s">
        <v>21</v>
      </c>
      <c r="D1523" s="17" t="s">
        <v>1383</v>
      </c>
      <c r="E1523" s="16" t="s">
        <v>588</v>
      </c>
      <c r="F1523" s="27">
        <v>44</v>
      </c>
      <c r="G1523" s="67">
        <v>252.46</v>
      </c>
      <c r="H1523" s="67">
        <v>304.45999999999998</v>
      </c>
      <c r="I1523" s="18">
        <v>13396.24</v>
      </c>
      <c r="J1523" s="40">
        <v>7.6536315544292678E-4</v>
      </c>
    </row>
    <row r="1524" spans="1:10" ht="26.4" x14ac:dyDescent="0.25">
      <c r="A1524" s="39" t="s">
        <v>1384</v>
      </c>
      <c r="B1524" s="16" t="s">
        <v>1385</v>
      </c>
      <c r="C1524" s="16" t="s">
        <v>21</v>
      </c>
      <c r="D1524" s="17" t="s">
        <v>1386</v>
      </c>
      <c r="E1524" s="16" t="s">
        <v>588</v>
      </c>
      <c r="F1524" s="27">
        <v>46</v>
      </c>
      <c r="G1524" s="67">
        <v>86.66</v>
      </c>
      <c r="H1524" s="67">
        <v>104.51</v>
      </c>
      <c r="I1524" s="18">
        <v>4807.46</v>
      </c>
      <c r="J1524" s="40">
        <v>2.7466309615725406E-4</v>
      </c>
    </row>
    <row r="1525" spans="1:10" ht="26.4" x14ac:dyDescent="0.25">
      <c r="A1525" s="39" t="s">
        <v>1387</v>
      </c>
      <c r="B1525" s="16" t="s">
        <v>1388</v>
      </c>
      <c r="C1525" s="16" t="s">
        <v>21</v>
      </c>
      <c r="D1525" s="17" t="s">
        <v>1389</v>
      </c>
      <c r="E1525" s="16" t="s">
        <v>588</v>
      </c>
      <c r="F1525" s="27">
        <v>14</v>
      </c>
      <c r="G1525" s="67">
        <v>415.16</v>
      </c>
      <c r="H1525" s="67">
        <v>500.68</v>
      </c>
      <c r="I1525" s="18">
        <v>7009.52</v>
      </c>
      <c r="J1525" s="40">
        <v>4.0047269572210593E-4</v>
      </c>
    </row>
    <row r="1526" spans="1:10" ht="26.4" x14ac:dyDescent="0.25">
      <c r="A1526" s="39" t="s">
        <v>1390</v>
      </c>
      <c r="B1526" s="16" t="s">
        <v>1391</v>
      </c>
      <c r="C1526" s="16" t="s">
        <v>21</v>
      </c>
      <c r="D1526" s="17" t="s">
        <v>1392</v>
      </c>
      <c r="E1526" s="16" t="s">
        <v>588</v>
      </c>
      <c r="F1526" s="27">
        <v>14</v>
      </c>
      <c r="G1526" s="67">
        <v>379.47</v>
      </c>
      <c r="H1526" s="67">
        <v>457.64</v>
      </c>
      <c r="I1526" s="18">
        <v>6406.96</v>
      </c>
      <c r="J1526" s="40">
        <v>3.6604682525817795E-4</v>
      </c>
    </row>
    <row r="1527" spans="1:10" ht="26.4" x14ac:dyDescent="0.25">
      <c r="A1527" s="39" t="s">
        <v>1393</v>
      </c>
      <c r="B1527" s="16" t="s">
        <v>1394</v>
      </c>
      <c r="C1527" s="16" t="s">
        <v>21</v>
      </c>
      <c r="D1527" s="17" t="s">
        <v>1395</v>
      </c>
      <c r="E1527" s="16" t="s">
        <v>588</v>
      </c>
      <c r="F1527" s="27">
        <v>16</v>
      </c>
      <c r="G1527" s="67">
        <v>195.04</v>
      </c>
      <c r="H1527" s="67">
        <v>235.21</v>
      </c>
      <c r="I1527" s="18">
        <v>3763.36</v>
      </c>
      <c r="J1527" s="40">
        <v>2.1501086011206823E-4</v>
      </c>
    </row>
    <row r="1528" spans="1:10" ht="26.4" x14ac:dyDescent="0.25">
      <c r="A1528" s="39" t="s">
        <v>1396</v>
      </c>
      <c r="B1528" s="16" t="s">
        <v>1397</v>
      </c>
      <c r="C1528" s="16" t="s">
        <v>21</v>
      </c>
      <c r="D1528" s="17" t="s">
        <v>1398</v>
      </c>
      <c r="E1528" s="16" t="s">
        <v>588</v>
      </c>
      <c r="F1528" s="27">
        <v>18</v>
      </c>
      <c r="G1528" s="67">
        <v>12.4</v>
      </c>
      <c r="H1528" s="67">
        <v>14.95</v>
      </c>
      <c r="I1528" s="18">
        <v>269.10000000000002</v>
      </c>
      <c r="J1528" s="40">
        <v>1.5374405439861604E-5</v>
      </c>
    </row>
    <row r="1529" spans="1:10" ht="39.6" x14ac:dyDescent="0.25">
      <c r="A1529" s="39" t="s">
        <v>1399</v>
      </c>
      <c r="B1529" s="16" t="s">
        <v>1400</v>
      </c>
      <c r="C1529" s="16" t="s">
        <v>56</v>
      </c>
      <c r="D1529" s="17" t="s">
        <v>1401</v>
      </c>
      <c r="E1529" s="16" t="s">
        <v>1083</v>
      </c>
      <c r="F1529" s="27">
        <v>1</v>
      </c>
      <c r="G1529" s="67">
        <v>479.12</v>
      </c>
      <c r="H1529" s="67">
        <v>577.80999999999995</v>
      </c>
      <c r="I1529" s="18">
        <v>577.80999999999995</v>
      </c>
      <c r="J1529" s="40">
        <v>3.3011836518790163E-5</v>
      </c>
    </row>
    <row r="1530" spans="1:10" ht="39.6" x14ac:dyDescent="0.25">
      <c r="A1530" s="39" t="s">
        <v>1402</v>
      </c>
      <c r="B1530" s="16" t="s">
        <v>1403</v>
      </c>
      <c r="C1530" s="16" t="s">
        <v>56</v>
      </c>
      <c r="D1530" s="17" t="s">
        <v>1404</v>
      </c>
      <c r="E1530" s="16" t="s">
        <v>1083</v>
      </c>
      <c r="F1530" s="27">
        <v>1</v>
      </c>
      <c r="G1530" s="67">
        <v>2198.7800000000002</v>
      </c>
      <c r="H1530" s="67">
        <v>2651.72</v>
      </c>
      <c r="I1530" s="18">
        <v>2651.72</v>
      </c>
      <c r="J1530" s="40">
        <v>1.5149988254548424E-4</v>
      </c>
    </row>
    <row r="1531" spans="1:10" ht="26.4" x14ac:dyDescent="0.25">
      <c r="A1531" s="39" t="s">
        <v>1405</v>
      </c>
      <c r="B1531" s="16" t="s">
        <v>1406</v>
      </c>
      <c r="C1531" s="16" t="s">
        <v>56</v>
      </c>
      <c r="D1531" s="17" t="s">
        <v>1407</v>
      </c>
      <c r="E1531" s="16" t="s">
        <v>1083</v>
      </c>
      <c r="F1531" s="27">
        <v>7</v>
      </c>
      <c r="G1531" s="67">
        <v>88.21</v>
      </c>
      <c r="H1531" s="67">
        <v>106.38</v>
      </c>
      <c r="I1531" s="18">
        <v>744.66</v>
      </c>
      <c r="J1531" s="40">
        <v>4.2544424952981574E-5</v>
      </c>
    </row>
    <row r="1532" spans="1:10" ht="26.4" x14ac:dyDescent="0.25">
      <c r="A1532" s="39" t="s">
        <v>1408</v>
      </c>
      <c r="B1532" s="16" t="s">
        <v>1409</v>
      </c>
      <c r="C1532" s="16" t="s">
        <v>56</v>
      </c>
      <c r="D1532" s="17" t="s">
        <v>1410</v>
      </c>
      <c r="E1532" s="16" t="s">
        <v>1083</v>
      </c>
      <c r="F1532" s="27">
        <v>11</v>
      </c>
      <c r="G1532" s="67">
        <v>138.34</v>
      </c>
      <c r="H1532" s="67">
        <v>166.83</v>
      </c>
      <c r="I1532" s="18">
        <v>1835.13</v>
      </c>
      <c r="J1532" s="40">
        <v>1.0484590358548206E-4</v>
      </c>
    </row>
    <row r="1533" spans="1:10" x14ac:dyDescent="0.25">
      <c r="A1533" s="39" t="s">
        <v>1411</v>
      </c>
      <c r="B1533" s="16" t="s">
        <v>1412</v>
      </c>
      <c r="C1533" s="16" t="s">
        <v>43</v>
      </c>
      <c r="D1533" s="17" t="s">
        <v>1413</v>
      </c>
      <c r="E1533" s="16" t="s">
        <v>588</v>
      </c>
      <c r="F1533" s="27">
        <v>12</v>
      </c>
      <c r="G1533" s="67">
        <v>45.87</v>
      </c>
      <c r="H1533" s="67">
        <v>55.31</v>
      </c>
      <c r="I1533" s="18">
        <v>663.72</v>
      </c>
      <c r="J1533" s="40">
        <v>3.7920105457246162E-5</v>
      </c>
    </row>
    <row r="1534" spans="1:10" ht="26.4" x14ac:dyDescent="0.25">
      <c r="A1534" s="39" t="s">
        <v>1414</v>
      </c>
      <c r="B1534" s="16" t="s">
        <v>1415</v>
      </c>
      <c r="C1534" s="16" t="s">
        <v>21</v>
      </c>
      <c r="D1534" s="17" t="s">
        <v>1416</v>
      </c>
      <c r="E1534" s="16" t="s">
        <v>588</v>
      </c>
      <c r="F1534" s="27">
        <v>27</v>
      </c>
      <c r="G1534" s="67">
        <v>84.72</v>
      </c>
      <c r="H1534" s="67">
        <v>102.17</v>
      </c>
      <c r="I1534" s="18">
        <v>2758.59</v>
      </c>
      <c r="J1534" s="40">
        <v>1.5760565255424681E-4</v>
      </c>
    </row>
    <row r="1535" spans="1:10" ht="39.6" x14ac:dyDescent="0.25">
      <c r="A1535" s="39" t="s">
        <v>1417</v>
      </c>
      <c r="B1535" s="16" t="s">
        <v>1418</v>
      </c>
      <c r="C1535" s="16" t="s">
        <v>21</v>
      </c>
      <c r="D1535" s="17" t="s">
        <v>1419</v>
      </c>
      <c r="E1535" s="16" t="s">
        <v>23</v>
      </c>
      <c r="F1535" s="27">
        <v>116.04</v>
      </c>
      <c r="G1535" s="67">
        <v>827.65</v>
      </c>
      <c r="H1535" s="67">
        <v>998.14</v>
      </c>
      <c r="I1535" s="18">
        <v>115824.16</v>
      </c>
      <c r="J1535" s="40">
        <v>6.6173452083664085E-3</v>
      </c>
    </row>
    <row r="1536" spans="1:10" x14ac:dyDescent="0.25">
      <c r="A1536" s="43" t="s">
        <v>24</v>
      </c>
      <c r="B1536" s="83"/>
      <c r="C1536" s="83"/>
      <c r="D1536" s="84" t="s">
        <v>3</v>
      </c>
      <c r="E1536" s="85" t="s">
        <v>25</v>
      </c>
      <c r="F1536" s="85"/>
      <c r="G1536" s="85"/>
      <c r="H1536" s="86"/>
      <c r="I1536" s="87" t="s">
        <v>1911</v>
      </c>
      <c r="J1536" s="44"/>
    </row>
    <row r="1537" spans="1:10" x14ac:dyDescent="0.25">
      <c r="A1537" s="51"/>
      <c r="B1537" s="83"/>
      <c r="C1537" s="83"/>
      <c r="D1537" s="84" t="s">
        <v>1420</v>
      </c>
      <c r="E1537" s="85">
        <f>116.04</f>
        <v>116.04</v>
      </c>
      <c r="F1537" s="85"/>
      <c r="G1537" s="85"/>
      <c r="H1537" s="85"/>
      <c r="I1537" s="88">
        <v>116.04</v>
      </c>
      <c r="J1537" s="44" t="s">
        <v>27</v>
      </c>
    </row>
    <row r="1538" spans="1:10" x14ac:dyDescent="0.25">
      <c r="A1538" s="39" t="s">
        <v>1421</v>
      </c>
      <c r="B1538" s="16" t="s">
        <v>1422</v>
      </c>
      <c r="C1538" s="16" t="s">
        <v>14</v>
      </c>
      <c r="D1538" s="17" t="s">
        <v>1423</v>
      </c>
      <c r="E1538" s="16" t="s">
        <v>138</v>
      </c>
      <c r="F1538" s="27">
        <v>131.12</v>
      </c>
      <c r="G1538" s="67">
        <v>678.16</v>
      </c>
      <c r="H1538" s="67">
        <v>817.86</v>
      </c>
      <c r="I1538" s="18">
        <v>107237.8</v>
      </c>
      <c r="J1538" s="40">
        <v>6.1267834101775944E-3</v>
      </c>
    </row>
    <row r="1539" spans="1:10" x14ac:dyDescent="0.25">
      <c r="A1539" s="43" t="s">
        <v>24</v>
      </c>
      <c r="B1539" s="83"/>
      <c r="C1539" s="83"/>
      <c r="D1539" s="84" t="s">
        <v>3</v>
      </c>
      <c r="E1539" s="85" t="s">
        <v>25</v>
      </c>
      <c r="F1539" s="85"/>
      <c r="G1539" s="85"/>
      <c r="H1539" s="86"/>
      <c r="I1539" s="87" t="s">
        <v>1911</v>
      </c>
      <c r="J1539" s="44"/>
    </row>
    <row r="1540" spans="1:10" x14ac:dyDescent="0.25">
      <c r="A1540" s="51"/>
      <c r="B1540" s="83"/>
      <c r="C1540" s="83"/>
      <c r="D1540" s="84" t="s">
        <v>1424</v>
      </c>
      <c r="E1540" s="85">
        <f>131.12</f>
        <v>131.12</v>
      </c>
      <c r="F1540" s="85"/>
      <c r="G1540" s="85"/>
      <c r="H1540" s="85"/>
      <c r="I1540" s="88">
        <v>131.12</v>
      </c>
      <c r="J1540" s="44" t="s">
        <v>27</v>
      </c>
    </row>
    <row r="1541" spans="1:10" x14ac:dyDescent="0.25">
      <c r="A1541" s="41" t="s">
        <v>1425</v>
      </c>
      <c r="B1541" s="13"/>
      <c r="C1541" s="13"/>
      <c r="D1541" s="14" t="s">
        <v>1426</v>
      </c>
      <c r="E1541" s="14"/>
      <c r="F1541" s="26">
        <v>1</v>
      </c>
      <c r="G1541" s="66"/>
      <c r="H1541" s="66"/>
      <c r="I1541" s="15">
        <v>9344.01</v>
      </c>
      <c r="J1541" s="42">
        <v>5.3384837671542628E-4</v>
      </c>
    </row>
    <row r="1542" spans="1:10" ht="26.4" x14ac:dyDescent="0.25">
      <c r="A1542" s="39" t="s">
        <v>1427</v>
      </c>
      <c r="B1542" s="16" t="s">
        <v>1428</v>
      </c>
      <c r="C1542" s="16" t="s">
        <v>21</v>
      </c>
      <c r="D1542" s="17" t="s">
        <v>1429</v>
      </c>
      <c r="E1542" s="16" t="s">
        <v>52</v>
      </c>
      <c r="F1542" s="27">
        <v>7.6</v>
      </c>
      <c r="G1542" s="67">
        <v>16.52</v>
      </c>
      <c r="H1542" s="67">
        <v>19.920000000000002</v>
      </c>
      <c r="I1542" s="18">
        <v>151.38999999999999</v>
      </c>
      <c r="J1542" s="40">
        <v>8.6493171294710072E-6</v>
      </c>
    </row>
    <row r="1543" spans="1:10" x14ac:dyDescent="0.25">
      <c r="A1543" s="43" t="s">
        <v>24</v>
      </c>
      <c r="B1543" s="83"/>
      <c r="C1543" s="83"/>
      <c r="D1543" s="84" t="s">
        <v>3</v>
      </c>
      <c r="E1543" s="85" t="s">
        <v>25</v>
      </c>
      <c r="F1543" s="85"/>
      <c r="G1543" s="85"/>
      <c r="H1543" s="86"/>
      <c r="I1543" s="87" t="s">
        <v>1911</v>
      </c>
      <c r="J1543" s="44"/>
    </row>
    <row r="1544" spans="1:10" x14ac:dyDescent="0.25">
      <c r="A1544" s="51"/>
      <c r="B1544" s="83"/>
      <c r="C1544" s="83"/>
      <c r="D1544" s="84" t="s">
        <v>764</v>
      </c>
      <c r="E1544" s="85">
        <f>7.6</f>
        <v>7.6</v>
      </c>
      <c r="F1544" s="85"/>
      <c r="G1544" s="85"/>
      <c r="H1544" s="85"/>
      <c r="I1544" s="88">
        <v>7.6</v>
      </c>
      <c r="J1544" s="44" t="s">
        <v>27</v>
      </c>
    </row>
    <row r="1545" spans="1:10" ht="26.4" x14ac:dyDescent="0.25">
      <c r="A1545" s="39" t="s">
        <v>1430</v>
      </c>
      <c r="B1545" s="16" t="s">
        <v>1431</v>
      </c>
      <c r="C1545" s="16" t="s">
        <v>21</v>
      </c>
      <c r="D1545" s="17" t="s">
        <v>1432</v>
      </c>
      <c r="E1545" s="16" t="s">
        <v>52</v>
      </c>
      <c r="F1545" s="27">
        <v>2.7</v>
      </c>
      <c r="G1545" s="67">
        <v>23.86</v>
      </c>
      <c r="H1545" s="67">
        <v>28.77</v>
      </c>
      <c r="I1545" s="18">
        <v>77.67</v>
      </c>
      <c r="J1545" s="40">
        <v>4.4374956169232655E-6</v>
      </c>
    </row>
    <row r="1546" spans="1:10" x14ac:dyDescent="0.25">
      <c r="A1546" s="43" t="s">
        <v>24</v>
      </c>
      <c r="B1546" s="83"/>
      <c r="C1546" s="83"/>
      <c r="D1546" s="84" t="s">
        <v>3</v>
      </c>
      <c r="E1546" s="85" t="s">
        <v>25</v>
      </c>
      <c r="F1546" s="85"/>
      <c r="G1546" s="85"/>
      <c r="H1546" s="86"/>
      <c r="I1546" s="87" t="s">
        <v>1911</v>
      </c>
      <c r="J1546" s="44"/>
    </row>
    <row r="1547" spans="1:10" x14ac:dyDescent="0.25">
      <c r="A1547" s="51"/>
      <c r="B1547" s="83"/>
      <c r="C1547" s="83"/>
      <c r="D1547" s="84" t="s">
        <v>764</v>
      </c>
      <c r="E1547" s="85">
        <f>2.7</f>
        <v>2.7</v>
      </c>
      <c r="F1547" s="85"/>
      <c r="G1547" s="85"/>
      <c r="H1547" s="85"/>
      <c r="I1547" s="88">
        <v>2.7</v>
      </c>
      <c r="J1547" s="44" t="s">
        <v>27</v>
      </c>
    </row>
    <row r="1548" spans="1:10" ht="26.4" x14ac:dyDescent="0.25">
      <c r="A1548" s="39" t="s">
        <v>1433</v>
      </c>
      <c r="B1548" s="16" t="s">
        <v>1434</v>
      </c>
      <c r="C1548" s="16" t="s">
        <v>21</v>
      </c>
      <c r="D1548" s="17" t="s">
        <v>1435</v>
      </c>
      <c r="E1548" s="16" t="s">
        <v>52</v>
      </c>
      <c r="F1548" s="27">
        <v>22.3</v>
      </c>
      <c r="G1548" s="67">
        <v>31.48</v>
      </c>
      <c r="H1548" s="67">
        <v>37.96</v>
      </c>
      <c r="I1548" s="18">
        <v>846.5</v>
      </c>
      <c r="J1548" s="40">
        <v>4.8362817557944435E-5</v>
      </c>
    </row>
    <row r="1549" spans="1:10" x14ac:dyDescent="0.25">
      <c r="A1549" s="43" t="s">
        <v>24</v>
      </c>
      <c r="B1549" s="83"/>
      <c r="C1549" s="83"/>
      <c r="D1549" s="84" t="s">
        <v>3</v>
      </c>
      <c r="E1549" s="85" t="s">
        <v>25</v>
      </c>
      <c r="F1549" s="85"/>
      <c r="G1549" s="85"/>
      <c r="H1549" s="86"/>
      <c r="I1549" s="87" t="s">
        <v>1911</v>
      </c>
      <c r="J1549" s="44"/>
    </row>
    <row r="1550" spans="1:10" x14ac:dyDescent="0.25">
      <c r="A1550" s="51"/>
      <c r="B1550" s="83"/>
      <c r="C1550" s="83"/>
      <c r="D1550" s="84" t="s">
        <v>764</v>
      </c>
      <c r="E1550" s="85">
        <f>22.3</f>
        <v>22.3</v>
      </c>
      <c r="F1550" s="85"/>
      <c r="G1550" s="85"/>
      <c r="H1550" s="85"/>
      <c r="I1550" s="88">
        <v>22.3</v>
      </c>
      <c r="J1550" s="44" t="s">
        <v>27</v>
      </c>
    </row>
    <row r="1551" spans="1:10" ht="39.6" x14ac:dyDescent="0.25">
      <c r="A1551" s="39" t="s">
        <v>1436</v>
      </c>
      <c r="B1551" s="16" t="s">
        <v>1437</v>
      </c>
      <c r="C1551" s="16" t="s">
        <v>21</v>
      </c>
      <c r="D1551" s="17" t="s">
        <v>1438</v>
      </c>
      <c r="E1551" s="16" t="s">
        <v>52</v>
      </c>
      <c r="F1551" s="27">
        <v>2.5</v>
      </c>
      <c r="G1551" s="67">
        <v>53.4</v>
      </c>
      <c r="H1551" s="67">
        <v>64.400000000000006</v>
      </c>
      <c r="I1551" s="18">
        <v>161</v>
      </c>
      <c r="J1551" s="40">
        <v>9.1983622289770268E-6</v>
      </c>
    </row>
    <row r="1552" spans="1:10" x14ac:dyDescent="0.25">
      <c r="A1552" s="43" t="s">
        <v>24</v>
      </c>
      <c r="B1552" s="83"/>
      <c r="C1552" s="83"/>
      <c r="D1552" s="84" t="s">
        <v>3</v>
      </c>
      <c r="E1552" s="85" t="s">
        <v>25</v>
      </c>
      <c r="F1552" s="85"/>
      <c r="G1552" s="85"/>
      <c r="H1552" s="86"/>
      <c r="I1552" s="87" t="s">
        <v>1911</v>
      </c>
      <c r="J1552" s="44"/>
    </row>
    <row r="1553" spans="1:10" x14ac:dyDescent="0.25">
      <c r="A1553" s="51"/>
      <c r="B1553" s="83"/>
      <c r="C1553" s="83"/>
      <c r="D1553" s="84" t="s">
        <v>764</v>
      </c>
      <c r="E1553" s="85">
        <f>2.5</f>
        <v>2.5</v>
      </c>
      <c r="F1553" s="85"/>
      <c r="G1553" s="85"/>
      <c r="H1553" s="85"/>
      <c r="I1553" s="88">
        <v>2.5</v>
      </c>
      <c r="J1553" s="44" t="s">
        <v>27</v>
      </c>
    </row>
    <row r="1554" spans="1:10" x14ac:dyDescent="0.25">
      <c r="A1554" s="39" t="s">
        <v>1439</v>
      </c>
      <c r="B1554" s="16" t="s">
        <v>1440</v>
      </c>
      <c r="C1554" s="16" t="s">
        <v>582</v>
      </c>
      <c r="D1554" s="17" t="s">
        <v>1441</v>
      </c>
      <c r="E1554" s="16" t="s">
        <v>588</v>
      </c>
      <c r="F1554" s="27">
        <v>5</v>
      </c>
      <c r="G1554" s="67">
        <v>529.27</v>
      </c>
      <c r="H1554" s="67">
        <v>638.29</v>
      </c>
      <c r="I1554" s="18">
        <v>3191.45</v>
      </c>
      <c r="J1554" s="40">
        <v>1.8233610643272506E-4</v>
      </c>
    </row>
    <row r="1555" spans="1:10" x14ac:dyDescent="0.25">
      <c r="A1555" s="43" t="s">
        <v>24</v>
      </c>
      <c r="B1555" s="83"/>
      <c r="C1555" s="83"/>
      <c r="D1555" s="84" t="s">
        <v>3</v>
      </c>
      <c r="E1555" s="85" t="s">
        <v>25</v>
      </c>
      <c r="F1555" s="85"/>
      <c r="G1555" s="85"/>
      <c r="H1555" s="86"/>
      <c r="I1555" s="87" t="s">
        <v>1911</v>
      </c>
      <c r="J1555" s="44"/>
    </row>
    <row r="1556" spans="1:10" x14ac:dyDescent="0.25">
      <c r="A1556" s="51"/>
      <c r="B1556" s="83"/>
      <c r="C1556" s="83"/>
      <c r="D1556" s="84" t="s">
        <v>764</v>
      </c>
      <c r="E1556" s="85">
        <f>5</f>
        <v>5</v>
      </c>
      <c r="F1556" s="85"/>
      <c r="G1556" s="85"/>
      <c r="H1556" s="85"/>
      <c r="I1556" s="88">
        <v>5</v>
      </c>
      <c r="J1556" s="44" t="s">
        <v>27</v>
      </c>
    </row>
    <row r="1557" spans="1:10" x14ac:dyDescent="0.25">
      <c r="A1557" s="39" t="s">
        <v>1442</v>
      </c>
      <c r="B1557" s="16" t="s">
        <v>1443</v>
      </c>
      <c r="C1557" s="16" t="s">
        <v>582</v>
      </c>
      <c r="D1557" s="17" t="s">
        <v>1444</v>
      </c>
      <c r="E1557" s="16" t="s">
        <v>588</v>
      </c>
      <c r="F1557" s="27">
        <v>1</v>
      </c>
      <c r="G1557" s="67">
        <v>72.849999999999994</v>
      </c>
      <c r="H1557" s="67">
        <v>87.85</v>
      </c>
      <c r="I1557" s="18">
        <v>87.85</v>
      </c>
      <c r="J1557" s="40">
        <v>5.0191063466809432E-6</v>
      </c>
    </row>
    <row r="1558" spans="1:10" x14ac:dyDescent="0.25">
      <c r="A1558" s="43" t="s">
        <v>24</v>
      </c>
      <c r="B1558" s="83"/>
      <c r="C1558" s="83"/>
      <c r="D1558" s="84" t="s">
        <v>3</v>
      </c>
      <c r="E1558" s="85" t="s">
        <v>25</v>
      </c>
      <c r="F1558" s="85"/>
      <c r="G1558" s="85"/>
      <c r="H1558" s="86"/>
      <c r="I1558" s="87" t="s">
        <v>1911</v>
      </c>
      <c r="J1558" s="44"/>
    </row>
    <row r="1559" spans="1:10" x14ac:dyDescent="0.25">
      <c r="A1559" s="51"/>
      <c r="B1559" s="83"/>
      <c r="C1559" s="83"/>
      <c r="D1559" s="84" t="s">
        <v>764</v>
      </c>
      <c r="E1559" s="85">
        <f>1</f>
        <v>1</v>
      </c>
      <c r="F1559" s="85"/>
      <c r="G1559" s="85"/>
      <c r="H1559" s="85"/>
      <c r="I1559" s="88">
        <v>1</v>
      </c>
      <c r="J1559" s="44" t="s">
        <v>27</v>
      </c>
    </row>
    <row r="1560" spans="1:10" ht="26.4" x14ac:dyDescent="0.25">
      <c r="A1560" s="39" t="s">
        <v>1445</v>
      </c>
      <c r="B1560" s="16" t="s">
        <v>1446</v>
      </c>
      <c r="C1560" s="16" t="s">
        <v>56</v>
      </c>
      <c r="D1560" s="17" t="s">
        <v>1447</v>
      </c>
      <c r="E1560" s="16" t="s">
        <v>1083</v>
      </c>
      <c r="F1560" s="27">
        <v>4</v>
      </c>
      <c r="G1560" s="67">
        <v>37.46</v>
      </c>
      <c r="H1560" s="67">
        <v>45.17</v>
      </c>
      <c r="I1560" s="18">
        <v>180.68</v>
      </c>
      <c r="J1560" s="40">
        <v>1.0322733462929002E-5</v>
      </c>
    </row>
    <row r="1561" spans="1:10" x14ac:dyDescent="0.25">
      <c r="A1561" s="43" t="s">
        <v>24</v>
      </c>
      <c r="B1561" s="83"/>
      <c r="C1561" s="83"/>
      <c r="D1561" s="84" t="s">
        <v>3</v>
      </c>
      <c r="E1561" s="85" t="s">
        <v>25</v>
      </c>
      <c r="F1561" s="85"/>
      <c r="G1561" s="85"/>
      <c r="H1561" s="86"/>
      <c r="I1561" s="87" t="s">
        <v>1911</v>
      </c>
      <c r="J1561" s="44"/>
    </row>
    <row r="1562" spans="1:10" x14ac:dyDescent="0.25">
      <c r="A1562" s="51"/>
      <c r="B1562" s="83"/>
      <c r="C1562" s="83"/>
      <c r="D1562" s="84" t="s">
        <v>764</v>
      </c>
      <c r="E1562" s="85">
        <f>4</f>
        <v>4</v>
      </c>
      <c r="F1562" s="85"/>
      <c r="G1562" s="85"/>
      <c r="H1562" s="85"/>
      <c r="I1562" s="88">
        <v>4</v>
      </c>
      <c r="J1562" s="44" t="s">
        <v>27</v>
      </c>
    </row>
    <row r="1563" spans="1:10" ht="26.4" x14ac:dyDescent="0.25">
      <c r="A1563" s="39" t="s">
        <v>1448</v>
      </c>
      <c r="B1563" s="16" t="s">
        <v>1449</v>
      </c>
      <c r="C1563" s="16" t="s">
        <v>56</v>
      </c>
      <c r="D1563" s="17" t="s">
        <v>1450</v>
      </c>
      <c r="E1563" s="16" t="s">
        <v>1083</v>
      </c>
      <c r="F1563" s="27">
        <v>1</v>
      </c>
      <c r="G1563" s="67">
        <v>726.44</v>
      </c>
      <c r="H1563" s="67">
        <v>876.08</v>
      </c>
      <c r="I1563" s="18">
        <v>876.08</v>
      </c>
      <c r="J1563" s="40">
        <v>5.0052802369951514E-5</v>
      </c>
    </row>
    <row r="1564" spans="1:10" x14ac:dyDescent="0.25">
      <c r="A1564" s="43" t="s">
        <v>24</v>
      </c>
      <c r="B1564" s="83"/>
      <c r="C1564" s="83"/>
      <c r="D1564" s="84" t="s">
        <v>3</v>
      </c>
      <c r="E1564" s="85" t="s">
        <v>25</v>
      </c>
      <c r="F1564" s="85"/>
      <c r="G1564" s="85"/>
      <c r="H1564" s="86"/>
      <c r="I1564" s="87" t="s">
        <v>1911</v>
      </c>
      <c r="J1564" s="44"/>
    </row>
    <row r="1565" spans="1:10" x14ac:dyDescent="0.25">
      <c r="A1565" s="51"/>
      <c r="B1565" s="83"/>
      <c r="C1565" s="83"/>
      <c r="D1565" s="84" t="s">
        <v>764</v>
      </c>
      <c r="E1565" s="85">
        <f>1</f>
        <v>1</v>
      </c>
      <c r="F1565" s="85"/>
      <c r="G1565" s="85"/>
      <c r="H1565" s="85"/>
      <c r="I1565" s="88">
        <v>1</v>
      </c>
      <c r="J1565" s="44" t="s">
        <v>27</v>
      </c>
    </row>
    <row r="1566" spans="1:10" ht="26.4" x14ac:dyDescent="0.25">
      <c r="A1566" s="39" t="s">
        <v>1451</v>
      </c>
      <c r="B1566" s="16" t="s">
        <v>1452</v>
      </c>
      <c r="C1566" s="16" t="s">
        <v>56</v>
      </c>
      <c r="D1566" s="17" t="s">
        <v>1453</v>
      </c>
      <c r="E1566" s="16" t="s">
        <v>1083</v>
      </c>
      <c r="F1566" s="27">
        <v>1</v>
      </c>
      <c r="G1566" s="67">
        <v>684.73</v>
      </c>
      <c r="H1566" s="67">
        <v>825.78</v>
      </c>
      <c r="I1566" s="18">
        <v>825.78</v>
      </c>
      <c r="J1566" s="40">
        <v>4.7179028331954347E-5</v>
      </c>
    </row>
    <row r="1567" spans="1:10" x14ac:dyDescent="0.25">
      <c r="A1567" s="43" t="s">
        <v>24</v>
      </c>
      <c r="B1567" s="83"/>
      <c r="C1567" s="83"/>
      <c r="D1567" s="84" t="s">
        <v>3</v>
      </c>
      <c r="E1567" s="85" t="s">
        <v>25</v>
      </c>
      <c r="F1567" s="85"/>
      <c r="G1567" s="85"/>
      <c r="H1567" s="86"/>
      <c r="I1567" s="87" t="s">
        <v>1911</v>
      </c>
      <c r="J1567" s="44"/>
    </row>
    <row r="1568" spans="1:10" x14ac:dyDescent="0.25">
      <c r="A1568" s="51"/>
      <c r="B1568" s="83"/>
      <c r="C1568" s="83"/>
      <c r="D1568" s="84" t="s">
        <v>764</v>
      </c>
      <c r="E1568" s="85">
        <f>1</f>
        <v>1</v>
      </c>
      <c r="F1568" s="85"/>
      <c r="G1568" s="85"/>
      <c r="H1568" s="85"/>
      <c r="I1568" s="88">
        <v>1</v>
      </c>
      <c r="J1568" s="44" t="s">
        <v>27</v>
      </c>
    </row>
    <row r="1569" spans="1:10" ht="39.6" x14ac:dyDescent="0.25">
      <c r="A1569" s="39" t="s">
        <v>1454</v>
      </c>
      <c r="B1569" s="16" t="s">
        <v>1455</v>
      </c>
      <c r="C1569" s="16" t="s">
        <v>21</v>
      </c>
      <c r="D1569" s="17" t="s">
        <v>1456</v>
      </c>
      <c r="E1569" s="16" t="s">
        <v>588</v>
      </c>
      <c r="F1569" s="27">
        <v>5</v>
      </c>
      <c r="G1569" s="67">
        <v>33.74</v>
      </c>
      <c r="H1569" s="67">
        <v>40.69</v>
      </c>
      <c r="I1569" s="18">
        <v>203.45</v>
      </c>
      <c r="J1569" s="40">
        <v>1.1623644692455752E-5</v>
      </c>
    </row>
    <row r="1570" spans="1:10" x14ac:dyDescent="0.25">
      <c r="A1570" s="43" t="s">
        <v>24</v>
      </c>
      <c r="B1570" s="83"/>
      <c r="C1570" s="83"/>
      <c r="D1570" s="84" t="s">
        <v>3</v>
      </c>
      <c r="E1570" s="85" t="s">
        <v>25</v>
      </c>
      <c r="F1570" s="85"/>
      <c r="G1570" s="85"/>
      <c r="H1570" s="86"/>
      <c r="I1570" s="87" t="s">
        <v>1911</v>
      </c>
      <c r="J1570" s="44"/>
    </row>
    <row r="1571" spans="1:10" x14ac:dyDescent="0.25">
      <c r="A1571" s="51"/>
      <c r="B1571" s="83"/>
      <c r="C1571" s="83"/>
      <c r="D1571" s="84" t="s">
        <v>764</v>
      </c>
      <c r="E1571" s="85">
        <f>5</f>
        <v>5</v>
      </c>
      <c r="F1571" s="85"/>
      <c r="G1571" s="85"/>
      <c r="H1571" s="85"/>
      <c r="I1571" s="88">
        <v>5</v>
      </c>
      <c r="J1571" s="44" t="s">
        <v>27</v>
      </c>
    </row>
    <row r="1572" spans="1:10" ht="39.6" x14ac:dyDescent="0.25">
      <c r="A1572" s="39" t="s">
        <v>1457</v>
      </c>
      <c r="B1572" s="16" t="s">
        <v>1458</v>
      </c>
      <c r="C1572" s="16" t="s">
        <v>21</v>
      </c>
      <c r="D1572" s="17" t="s">
        <v>1459</v>
      </c>
      <c r="E1572" s="16" t="s">
        <v>588</v>
      </c>
      <c r="F1572" s="27">
        <v>2</v>
      </c>
      <c r="G1572" s="67">
        <v>49.63</v>
      </c>
      <c r="H1572" s="67">
        <v>59.85</v>
      </c>
      <c r="I1572" s="18">
        <v>119.7</v>
      </c>
      <c r="J1572" s="40">
        <v>6.8387823528481375E-6</v>
      </c>
    </row>
    <row r="1573" spans="1:10" x14ac:dyDescent="0.25">
      <c r="A1573" s="43" t="s">
        <v>24</v>
      </c>
      <c r="B1573" s="83"/>
      <c r="C1573" s="83"/>
      <c r="D1573" s="84" t="s">
        <v>3</v>
      </c>
      <c r="E1573" s="85" t="s">
        <v>25</v>
      </c>
      <c r="F1573" s="85"/>
      <c r="G1573" s="85"/>
      <c r="H1573" s="86"/>
      <c r="I1573" s="87" t="s">
        <v>1911</v>
      </c>
      <c r="J1573" s="44"/>
    </row>
    <row r="1574" spans="1:10" x14ac:dyDescent="0.25">
      <c r="A1574" s="51"/>
      <c r="B1574" s="83"/>
      <c r="C1574" s="83"/>
      <c r="D1574" s="84" t="s">
        <v>764</v>
      </c>
      <c r="E1574" s="85">
        <f>2</f>
        <v>2</v>
      </c>
      <c r="F1574" s="85"/>
      <c r="G1574" s="85"/>
      <c r="H1574" s="85"/>
      <c r="I1574" s="88">
        <v>2</v>
      </c>
      <c r="J1574" s="44" t="s">
        <v>27</v>
      </c>
    </row>
    <row r="1575" spans="1:10" ht="39.6" x14ac:dyDescent="0.25">
      <c r="A1575" s="39" t="s">
        <v>1460</v>
      </c>
      <c r="B1575" s="16" t="s">
        <v>1461</v>
      </c>
      <c r="C1575" s="16" t="s">
        <v>21</v>
      </c>
      <c r="D1575" s="17" t="s">
        <v>1462</v>
      </c>
      <c r="E1575" s="16" t="s">
        <v>588</v>
      </c>
      <c r="F1575" s="27">
        <v>5</v>
      </c>
      <c r="G1575" s="67">
        <v>81.52</v>
      </c>
      <c r="H1575" s="67">
        <v>98.31</v>
      </c>
      <c r="I1575" s="18">
        <v>491.55</v>
      </c>
      <c r="J1575" s="40">
        <v>2.8083571140705949E-5</v>
      </c>
    </row>
    <row r="1576" spans="1:10" x14ac:dyDescent="0.25">
      <c r="A1576" s="43" t="s">
        <v>24</v>
      </c>
      <c r="B1576" s="83"/>
      <c r="C1576" s="83"/>
      <c r="D1576" s="84" t="s">
        <v>3</v>
      </c>
      <c r="E1576" s="85" t="s">
        <v>25</v>
      </c>
      <c r="F1576" s="85"/>
      <c r="G1576" s="85"/>
      <c r="H1576" s="86"/>
      <c r="I1576" s="87" t="s">
        <v>1911</v>
      </c>
      <c r="J1576" s="44"/>
    </row>
    <row r="1577" spans="1:10" x14ac:dyDescent="0.25">
      <c r="A1577" s="51"/>
      <c r="B1577" s="83"/>
      <c r="C1577" s="83"/>
      <c r="D1577" s="84" t="s">
        <v>764</v>
      </c>
      <c r="E1577" s="85">
        <f>5</f>
        <v>5</v>
      </c>
      <c r="F1577" s="85"/>
      <c r="G1577" s="85"/>
      <c r="H1577" s="85"/>
      <c r="I1577" s="88">
        <v>5</v>
      </c>
      <c r="J1577" s="44" t="s">
        <v>27</v>
      </c>
    </row>
    <row r="1578" spans="1:10" ht="39.6" x14ac:dyDescent="0.25">
      <c r="A1578" s="39" t="s">
        <v>1463</v>
      </c>
      <c r="B1578" s="16" t="s">
        <v>1464</v>
      </c>
      <c r="C1578" s="16" t="s">
        <v>21</v>
      </c>
      <c r="D1578" s="17" t="s">
        <v>1465</v>
      </c>
      <c r="E1578" s="16" t="s">
        <v>588</v>
      </c>
      <c r="F1578" s="27">
        <v>1</v>
      </c>
      <c r="G1578" s="67">
        <v>26.19</v>
      </c>
      <c r="H1578" s="67">
        <v>31.58</v>
      </c>
      <c r="I1578" s="18">
        <v>31.58</v>
      </c>
      <c r="J1578" s="40">
        <v>1.8042501813111462E-6</v>
      </c>
    </row>
    <row r="1579" spans="1:10" x14ac:dyDescent="0.25">
      <c r="A1579" s="43" t="s">
        <v>24</v>
      </c>
      <c r="B1579" s="83"/>
      <c r="C1579" s="83"/>
      <c r="D1579" s="84" t="s">
        <v>3</v>
      </c>
      <c r="E1579" s="85" t="s">
        <v>25</v>
      </c>
      <c r="F1579" s="85"/>
      <c r="G1579" s="85"/>
      <c r="H1579" s="86"/>
      <c r="I1579" s="87" t="s">
        <v>1911</v>
      </c>
      <c r="J1579" s="44"/>
    </row>
    <row r="1580" spans="1:10" x14ac:dyDescent="0.25">
      <c r="A1580" s="51"/>
      <c r="B1580" s="83"/>
      <c r="C1580" s="83"/>
      <c r="D1580" s="84" t="s">
        <v>764</v>
      </c>
      <c r="E1580" s="85">
        <f>1</f>
        <v>1</v>
      </c>
      <c r="F1580" s="85"/>
      <c r="G1580" s="85"/>
      <c r="H1580" s="85"/>
      <c r="I1580" s="88">
        <v>1</v>
      </c>
      <c r="J1580" s="44" t="s">
        <v>27</v>
      </c>
    </row>
    <row r="1581" spans="1:10" ht="39.6" x14ac:dyDescent="0.25">
      <c r="A1581" s="39" t="s">
        <v>1466</v>
      </c>
      <c r="B1581" s="16" t="s">
        <v>1467</v>
      </c>
      <c r="C1581" s="16" t="s">
        <v>21</v>
      </c>
      <c r="D1581" s="17" t="s">
        <v>1468</v>
      </c>
      <c r="E1581" s="16" t="s">
        <v>588</v>
      </c>
      <c r="F1581" s="27">
        <v>2</v>
      </c>
      <c r="G1581" s="67">
        <v>22.44</v>
      </c>
      <c r="H1581" s="67">
        <v>27.06</v>
      </c>
      <c r="I1581" s="18">
        <v>54.12</v>
      </c>
      <c r="J1581" s="40">
        <v>3.09202089336793E-6</v>
      </c>
    </row>
    <row r="1582" spans="1:10" x14ac:dyDescent="0.25">
      <c r="A1582" s="43" t="s">
        <v>24</v>
      </c>
      <c r="B1582" s="83"/>
      <c r="C1582" s="83"/>
      <c r="D1582" s="84" t="s">
        <v>3</v>
      </c>
      <c r="E1582" s="85" t="s">
        <v>25</v>
      </c>
      <c r="F1582" s="85"/>
      <c r="G1582" s="85"/>
      <c r="H1582" s="86"/>
      <c r="I1582" s="87" t="s">
        <v>1911</v>
      </c>
      <c r="J1582" s="44"/>
    </row>
    <row r="1583" spans="1:10" x14ac:dyDescent="0.25">
      <c r="A1583" s="51"/>
      <c r="B1583" s="83"/>
      <c r="C1583" s="83"/>
      <c r="D1583" s="84" t="s">
        <v>764</v>
      </c>
      <c r="E1583" s="85">
        <f>2</f>
        <v>2</v>
      </c>
      <c r="F1583" s="85"/>
      <c r="G1583" s="85"/>
      <c r="H1583" s="85"/>
      <c r="I1583" s="88">
        <v>2</v>
      </c>
      <c r="J1583" s="44" t="s">
        <v>27</v>
      </c>
    </row>
    <row r="1584" spans="1:10" ht="39.6" x14ac:dyDescent="0.25">
      <c r="A1584" s="39" t="s">
        <v>1469</v>
      </c>
      <c r="B1584" s="16" t="s">
        <v>1470</v>
      </c>
      <c r="C1584" s="16" t="s">
        <v>21</v>
      </c>
      <c r="D1584" s="17" t="s">
        <v>1471</v>
      </c>
      <c r="E1584" s="16" t="s">
        <v>588</v>
      </c>
      <c r="F1584" s="27">
        <v>11</v>
      </c>
      <c r="G1584" s="67">
        <v>35</v>
      </c>
      <c r="H1584" s="67">
        <v>42.21</v>
      </c>
      <c r="I1584" s="18">
        <v>464.31</v>
      </c>
      <c r="J1584" s="40">
        <v>2.6527276810784616E-5</v>
      </c>
    </row>
    <row r="1585" spans="1:10" x14ac:dyDescent="0.25">
      <c r="A1585" s="43" t="s">
        <v>24</v>
      </c>
      <c r="B1585" s="83"/>
      <c r="C1585" s="83"/>
      <c r="D1585" s="84" t="s">
        <v>3</v>
      </c>
      <c r="E1585" s="85" t="s">
        <v>25</v>
      </c>
      <c r="F1585" s="85"/>
      <c r="G1585" s="85"/>
      <c r="H1585" s="86"/>
      <c r="I1585" s="87" t="s">
        <v>1911</v>
      </c>
      <c r="J1585" s="44"/>
    </row>
    <row r="1586" spans="1:10" x14ac:dyDescent="0.25">
      <c r="A1586" s="51"/>
      <c r="B1586" s="83"/>
      <c r="C1586" s="83"/>
      <c r="D1586" s="84" t="s">
        <v>764</v>
      </c>
      <c r="E1586" s="85">
        <f>11</f>
        <v>11</v>
      </c>
      <c r="F1586" s="85"/>
      <c r="G1586" s="85"/>
      <c r="H1586" s="85"/>
      <c r="I1586" s="88">
        <v>11</v>
      </c>
      <c r="J1586" s="44" t="s">
        <v>27</v>
      </c>
    </row>
    <row r="1587" spans="1:10" ht="39.6" x14ac:dyDescent="0.25">
      <c r="A1587" s="39" t="s">
        <v>1472</v>
      </c>
      <c r="B1587" s="16" t="s">
        <v>1473</v>
      </c>
      <c r="C1587" s="16" t="s">
        <v>21</v>
      </c>
      <c r="D1587" s="17" t="s">
        <v>1474</v>
      </c>
      <c r="E1587" s="16" t="s">
        <v>588</v>
      </c>
      <c r="F1587" s="27">
        <v>1</v>
      </c>
      <c r="G1587" s="67">
        <v>22.79</v>
      </c>
      <c r="H1587" s="67">
        <v>27.48</v>
      </c>
      <c r="I1587" s="18">
        <v>27.48</v>
      </c>
      <c r="J1587" s="40">
        <v>1.570006174237818E-6</v>
      </c>
    </row>
    <row r="1588" spans="1:10" x14ac:dyDescent="0.25">
      <c r="A1588" s="43" t="s">
        <v>24</v>
      </c>
      <c r="B1588" s="83"/>
      <c r="C1588" s="83"/>
      <c r="D1588" s="84" t="s">
        <v>3</v>
      </c>
      <c r="E1588" s="85" t="s">
        <v>25</v>
      </c>
      <c r="F1588" s="85"/>
      <c r="G1588" s="85"/>
      <c r="H1588" s="86"/>
      <c r="I1588" s="87" t="s">
        <v>1911</v>
      </c>
      <c r="J1588" s="44"/>
    </row>
    <row r="1589" spans="1:10" x14ac:dyDescent="0.25">
      <c r="A1589" s="51"/>
      <c r="B1589" s="83"/>
      <c r="C1589" s="83"/>
      <c r="D1589" s="84" t="s">
        <v>764</v>
      </c>
      <c r="E1589" s="85">
        <f>1</f>
        <v>1</v>
      </c>
      <c r="F1589" s="85"/>
      <c r="G1589" s="85"/>
      <c r="H1589" s="85"/>
      <c r="I1589" s="88">
        <v>1</v>
      </c>
      <c r="J1589" s="44" t="s">
        <v>27</v>
      </c>
    </row>
    <row r="1590" spans="1:10" ht="39.6" x14ac:dyDescent="0.25">
      <c r="A1590" s="39" t="s">
        <v>1475</v>
      </c>
      <c r="B1590" s="16" t="s">
        <v>1476</v>
      </c>
      <c r="C1590" s="16" t="s">
        <v>21</v>
      </c>
      <c r="D1590" s="17" t="s">
        <v>1477</v>
      </c>
      <c r="E1590" s="16" t="s">
        <v>588</v>
      </c>
      <c r="F1590" s="27">
        <v>2</v>
      </c>
      <c r="G1590" s="67">
        <v>41.85</v>
      </c>
      <c r="H1590" s="67">
        <v>50.47</v>
      </c>
      <c r="I1590" s="18">
        <v>100.94</v>
      </c>
      <c r="J1590" s="40">
        <v>5.7669731887760318E-6</v>
      </c>
    </row>
    <row r="1591" spans="1:10" x14ac:dyDescent="0.25">
      <c r="A1591" s="43" t="s">
        <v>24</v>
      </c>
      <c r="B1591" s="83"/>
      <c r="C1591" s="83"/>
      <c r="D1591" s="84" t="s">
        <v>3</v>
      </c>
      <c r="E1591" s="85" t="s">
        <v>25</v>
      </c>
      <c r="F1591" s="85"/>
      <c r="G1591" s="85"/>
      <c r="H1591" s="86"/>
      <c r="I1591" s="87" t="s">
        <v>1911</v>
      </c>
      <c r="J1591" s="44"/>
    </row>
    <row r="1592" spans="1:10" x14ac:dyDescent="0.25">
      <c r="A1592" s="51"/>
      <c r="B1592" s="83"/>
      <c r="C1592" s="83"/>
      <c r="D1592" s="84" t="s">
        <v>764</v>
      </c>
      <c r="E1592" s="85">
        <f>2</f>
        <v>2</v>
      </c>
      <c r="F1592" s="85"/>
      <c r="G1592" s="85"/>
      <c r="H1592" s="85"/>
      <c r="I1592" s="88">
        <v>2</v>
      </c>
      <c r="J1592" s="44" t="s">
        <v>27</v>
      </c>
    </row>
    <row r="1593" spans="1:10" ht="26.4" x14ac:dyDescent="0.25">
      <c r="A1593" s="39" t="s">
        <v>1478</v>
      </c>
      <c r="B1593" s="16" t="s">
        <v>1479</v>
      </c>
      <c r="C1593" s="16" t="s">
        <v>21</v>
      </c>
      <c r="D1593" s="17" t="s">
        <v>1480</v>
      </c>
      <c r="E1593" s="16" t="s">
        <v>588</v>
      </c>
      <c r="F1593" s="27">
        <v>3</v>
      </c>
      <c r="G1593" s="67">
        <v>121.3</v>
      </c>
      <c r="H1593" s="67">
        <v>146.28</v>
      </c>
      <c r="I1593" s="18">
        <v>438.84</v>
      </c>
      <c r="J1593" s="40">
        <v>2.5072107332697383E-5</v>
      </c>
    </row>
    <row r="1594" spans="1:10" x14ac:dyDescent="0.25">
      <c r="A1594" s="43" t="s">
        <v>24</v>
      </c>
      <c r="B1594" s="83"/>
      <c r="C1594" s="83"/>
      <c r="D1594" s="84" t="s">
        <v>3</v>
      </c>
      <c r="E1594" s="85" t="s">
        <v>25</v>
      </c>
      <c r="F1594" s="85"/>
      <c r="G1594" s="85"/>
      <c r="H1594" s="86"/>
      <c r="I1594" s="87" t="s">
        <v>1911</v>
      </c>
      <c r="J1594" s="44"/>
    </row>
    <row r="1595" spans="1:10" x14ac:dyDescent="0.25">
      <c r="A1595" s="51"/>
      <c r="B1595" s="83"/>
      <c r="C1595" s="83"/>
      <c r="D1595" s="84" t="s">
        <v>764</v>
      </c>
      <c r="E1595" s="85">
        <f>3</f>
        <v>3</v>
      </c>
      <c r="F1595" s="85"/>
      <c r="G1595" s="85"/>
      <c r="H1595" s="85"/>
      <c r="I1595" s="88">
        <v>3</v>
      </c>
      <c r="J1595" s="44" t="s">
        <v>27</v>
      </c>
    </row>
    <row r="1596" spans="1:10" ht="39.6" x14ac:dyDescent="0.25">
      <c r="A1596" s="39" t="s">
        <v>1481</v>
      </c>
      <c r="B1596" s="16" t="s">
        <v>1482</v>
      </c>
      <c r="C1596" s="16" t="s">
        <v>21</v>
      </c>
      <c r="D1596" s="17" t="s">
        <v>1483</v>
      </c>
      <c r="E1596" s="16" t="s">
        <v>588</v>
      </c>
      <c r="F1596" s="27">
        <v>5</v>
      </c>
      <c r="G1596" s="67">
        <v>49.6</v>
      </c>
      <c r="H1596" s="67">
        <v>59.81</v>
      </c>
      <c r="I1596" s="18">
        <v>299.05</v>
      </c>
      <c r="J1596" s="40">
        <v>1.7085529345189938E-5</v>
      </c>
    </row>
    <row r="1597" spans="1:10" x14ac:dyDescent="0.25">
      <c r="A1597" s="43" t="s">
        <v>24</v>
      </c>
      <c r="B1597" s="83"/>
      <c r="C1597" s="83"/>
      <c r="D1597" s="84" t="s">
        <v>3</v>
      </c>
      <c r="E1597" s="85" t="s">
        <v>25</v>
      </c>
      <c r="F1597" s="85"/>
      <c r="G1597" s="85"/>
      <c r="H1597" s="86"/>
      <c r="I1597" s="87" t="s">
        <v>1911</v>
      </c>
      <c r="J1597" s="44"/>
    </row>
    <row r="1598" spans="1:10" x14ac:dyDescent="0.25">
      <c r="A1598" s="51"/>
      <c r="B1598" s="83"/>
      <c r="C1598" s="83"/>
      <c r="D1598" s="84" t="s">
        <v>764</v>
      </c>
      <c r="E1598" s="85">
        <f>5</f>
        <v>5</v>
      </c>
      <c r="F1598" s="85"/>
      <c r="G1598" s="85"/>
      <c r="H1598" s="85"/>
      <c r="I1598" s="88">
        <v>5</v>
      </c>
      <c r="J1598" s="44" t="s">
        <v>27</v>
      </c>
    </row>
    <row r="1599" spans="1:10" ht="39.6" x14ac:dyDescent="0.25">
      <c r="A1599" s="39" t="s">
        <v>1484</v>
      </c>
      <c r="B1599" s="16" t="s">
        <v>1485</v>
      </c>
      <c r="C1599" s="16" t="s">
        <v>21</v>
      </c>
      <c r="D1599" s="17" t="s">
        <v>1486</v>
      </c>
      <c r="E1599" s="16" t="s">
        <v>588</v>
      </c>
      <c r="F1599" s="27">
        <v>9</v>
      </c>
      <c r="G1599" s="67">
        <v>59.23</v>
      </c>
      <c r="H1599" s="67">
        <v>71.430000000000007</v>
      </c>
      <c r="I1599" s="18">
        <v>642.87</v>
      </c>
      <c r="J1599" s="40">
        <v>3.6728888982251316E-5</v>
      </c>
    </row>
    <row r="1600" spans="1:10" x14ac:dyDescent="0.25">
      <c r="A1600" s="43" t="s">
        <v>24</v>
      </c>
      <c r="B1600" s="83"/>
      <c r="C1600" s="83"/>
      <c r="D1600" s="84" t="s">
        <v>3</v>
      </c>
      <c r="E1600" s="85" t="s">
        <v>25</v>
      </c>
      <c r="F1600" s="85"/>
      <c r="G1600" s="85"/>
      <c r="H1600" s="86"/>
      <c r="I1600" s="87" t="s">
        <v>1911</v>
      </c>
      <c r="J1600" s="44"/>
    </row>
    <row r="1601" spans="1:10" x14ac:dyDescent="0.25">
      <c r="A1601" s="51"/>
      <c r="B1601" s="83"/>
      <c r="C1601" s="83"/>
      <c r="D1601" s="84" t="s">
        <v>764</v>
      </c>
      <c r="E1601" s="85">
        <f>9</f>
        <v>9</v>
      </c>
      <c r="F1601" s="85"/>
      <c r="G1601" s="85"/>
      <c r="H1601" s="85"/>
      <c r="I1601" s="88">
        <v>9</v>
      </c>
      <c r="J1601" s="44" t="s">
        <v>27</v>
      </c>
    </row>
    <row r="1602" spans="1:10" x14ac:dyDescent="0.25">
      <c r="A1602" s="39" t="s">
        <v>1487</v>
      </c>
      <c r="B1602" s="16" t="s">
        <v>1488</v>
      </c>
      <c r="C1602" s="16" t="s">
        <v>56</v>
      </c>
      <c r="D1602" s="17" t="s">
        <v>1489</v>
      </c>
      <c r="E1602" s="16" t="s">
        <v>1083</v>
      </c>
      <c r="F1602" s="27">
        <v>4</v>
      </c>
      <c r="G1602" s="67">
        <v>14.87</v>
      </c>
      <c r="H1602" s="67">
        <v>17.93</v>
      </c>
      <c r="I1602" s="18">
        <v>71.72</v>
      </c>
      <c r="J1602" s="40">
        <v>4.0975561432436797E-6</v>
      </c>
    </row>
    <row r="1603" spans="1:10" x14ac:dyDescent="0.25">
      <c r="A1603" s="43" t="s">
        <v>24</v>
      </c>
      <c r="B1603" s="83"/>
      <c r="C1603" s="83"/>
      <c r="D1603" s="84" t="s">
        <v>3</v>
      </c>
      <c r="E1603" s="85" t="s">
        <v>25</v>
      </c>
      <c r="F1603" s="85"/>
      <c r="G1603" s="85"/>
      <c r="H1603" s="86"/>
      <c r="I1603" s="87" t="s">
        <v>1911</v>
      </c>
      <c r="J1603" s="44"/>
    </row>
    <row r="1604" spans="1:10" x14ac:dyDescent="0.25">
      <c r="A1604" s="51"/>
      <c r="B1604" s="83"/>
      <c r="C1604" s="83"/>
      <c r="D1604" s="84" t="s">
        <v>764</v>
      </c>
      <c r="E1604" s="85">
        <f>4</f>
        <v>4</v>
      </c>
      <c r="F1604" s="85"/>
      <c r="G1604" s="85"/>
      <c r="H1604" s="85"/>
      <c r="I1604" s="88">
        <v>4</v>
      </c>
      <c r="J1604" s="44" t="s">
        <v>27</v>
      </c>
    </row>
    <row r="1605" spans="1:10" x14ac:dyDescent="0.25">
      <c r="A1605" s="41" t="s">
        <v>1490</v>
      </c>
      <c r="B1605" s="13"/>
      <c r="C1605" s="13"/>
      <c r="D1605" s="14" t="s">
        <v>1491</v>
      </c>
      <c r="E1605" s="14"/>
      <c r="F1605" s="26">
        <v>1</v>
      </c>
      <c r="G1605" s="66"/>
      <c r="H1605" s="66"/>
      <c r="I1605" s="15">
        <v>19222.79</v>
      </c>
      <c r="J1605" s="42">
        <v>1.0982495992022192E-3</v>
      </c>
    </row>
    <row r="1606" spans="1:10" ht="26.4" x14ac:dyDescent="0.25">
      <c r="A1606" s="39" t="s">
        <v>1492</v>
      </c>
      <c r="B1606" s="16" t="s">
        <v>1493</v>
      </c>
      <c r="C1606" s="16" t="s">
        <v>21</v>
      </c>
      <c r="D1606" s="17" t="s">
        <v>1494</v>
      </c>
      <c r="E1606" s="16" t="s">
        <v>588</v>
      </c>
      <c r="F1606" s="27">
        <v>8</v>
      </c>
      <c r="G1606" s="67">
        <v>259.61</v>
      </c>
      <c r="H1606" s="67">
        <v>313.08</v>
      </c>
      <c r="I1606" s="18">
        <v>2504.64</v>
      </c>
      <c r="J1606" s="40">
        <v>1.430968072868635E-4</v>
      </c>
    </row>
    <row r="1607" spans="1:10" x14ac:dyDescent="0.25">
      <c r="A1607" s="43" t="s">
        <v>24</v>
      </c>
      <c r="B1607" s="83"/>
      <c r="C1607" s="83"/>
      <c r="D1607" s="84" t="s">
        <v>3</v>
      </c>
      <c r="E1607" s="85" t="s">
        <v>25</v>
      </c>
      <c r="F1607" s="85"/>
      <c r="G1607" s="85"/>
      <c r="H1607" s="86"/>
      <c r="I1607" s="87" t="s">
        <v>1911</v>
      </c>
      <c r="J1607" s="44"/>
    </row>
    <row r="1608" spans="1:10" x14ac:dyDescent="0.25">
      <c r="A1608" s="51"/>
      <c r="B1608" s="83"/>
      <c r="C1608" s="83"/>
      <c r="D1608" s="84" t="s">
        <v>764</v>
      </c>
      <c r="E1608" s="85">
        <f>8</f>
        <v>8</v>
      </c>
      <c r="F1608" s="85"/>
      <c r="G1608" s="85"/>
      <c r="H1608" s="85"/>
      <c r="I1608" s="88">
        <v>8</v>
      </c>
      <c r="J1608" s="44" t="s">
        <v>27</v>
      </c>
    </row>
    <row r="1609" spans="1:10" ht="26.4" x14ac:dyDescent="0.25">
      <c r="A1609" s="39" t="s">
        <v>1495</v>
      </c>
      <c r="B1609" s="16" t="s">
        <v>1496</v>
      </c>
      <c r="C1609" s="16" t="s">
        <v>21</v>
      </c>
      <c r="D1609" s="17" t="s">
        <v>1497</v>
      </c>
      <c r="E1609" s="16" t="s">
        <v>588</v>
      </c>
      <c r="F1609" s="27">
        <v>9</v>
      </c>
      <c r="G1609" s="67">
        <v>356.53</v>
      </c>
      <c r="H1609" s="67">
        <v>429.97</v>
      </c>
      <c r="I1609" s="18">
        <v>3869.73</v>
      </c>
      <c r="J1609" s="40">
        <v>2.2108806377850478E-4</v>
      </c>
    </row>
    <row r="1610" spans="1:10" x14ac:dyDescent="0.25">
      <c r="A1610" s="43" t="s">
        <v>24</v>
      </c>
      <c r="B1610" s="83"/>
      <c r="C1610" s="83"/>
      <c r="D1610" s="84" t="s">
        <v>3</v>
      </c>
      <c r="E1610" s="85" t="s">
        <v>25</v>
      </c>
      <c r="F1610" s="85"/>
      <c r="G1610" s="85"/>
      <c r="H1610" s="86"/>
      <c r="I1610" s="87" t="s">
        <v>1911</v>
      </c>
      <c r="J1610" s="44"/>
    </row>
    <row r="1611" spans="1:10" x14ac:dyDescent="0.25">
      <c r="A1611" s="51"/>
      <c r="B1611" s="83"/>
      <c r="C1611" s="83"/>
      <c r="D1611" s="84" t="s">
        <v>764</v>
      </c>
      <c r="E1611" s="85">
        <f>9</f>
        <v>9</v>
      </c>
      <c r="F1611" s="85"/>
      <c r="G1611" s="85"/>
      <c r="H1611" s="85"/>
      <c r="I1611" s="88">
        <v>9</v>
      </c>
      <c r="J1611" s="44" t="s">
        <v>27</v>
      </c>
    </row>
    <row r="1612" spans="1:10" ht="26.4" x14ac:dyDescent="0.25">
      <c r="A1612" s="39" t="s">
        <v>1498</v>
      </c>
      <c r="B1612" s="16" t="s">
        <v>1499</v>
      </c>
      <c r="C1612" s="16" t="s">
        <v>21</v>
      </c>
      <c r="D1612" s="17" t="s">
        <v>1500</v>
      </c>
      <c r="E1612" s="16" t="s">
        <v>588</v>
      </c>
      <c r="F1612" s="27">
        <v>1</v>
      </c>
      <c r="G1612" s="67">
        <v>862.69</v>
      </c>
      <c r="H1612" s="67">
        <v>1040.4000000000001</v>
      </c>
      <c r="I1612" s="18">
        <v>1040.4000000000001</v>
      </c>
      <c r="J1612" s="40">
        <v>5.9440845111973288E-5</v>
      </c>
    </row>
    <row r="1613" spans="1:10" x14ac:dyDescent="0.25">
      <c r="A1613" s="43" t="s">
        <v>24</v>
      </c>
      <c r="B1613" s="83"/>
      <c r="C1613" s="83"/>
      <c r="D1613" s="84" t="s">
        <v>3</v>
      </c>
      <c r="E1613" s="85" t="s">
        <v>25</v>
      </c>
      <c r="F1613" s="85"/>
      <c r="G1613" s="85"/>
      <c r="H1613" s="86"/>
      <c r="I1613" s="87" t="s">
        <v>1911</v>
      </c>
      <c r="J1613" s="44"/>
    </row>
    <row r="1614" spans="1:10" x14ac:dyDescent="0.25">
      <c r="A1614" s="51"/>
      <c r="B1614" s="83"/>
      <c r="C1614" s="83"/>
      <c r="D1614" s="84" t="s">
        <v>764</v>
      </c>
      <c r="E1614" s="85">
        <f>1</f>
        <v>1</v>
      </c>
      <c r="F1614" s="85"/>
      <c r="G1614" s="85"/>
      <c r="H1614" s="85"/>
      <c r="I1614" s="88">
        <v>1</v>
      </c>
      <c r="J1614" s="44" t="s">
        <v>27</v>
      </c>
    </row>
    <row r="1615" spans="1:10" ht="26.4" x14ac:dyDescent="0.25">
      <c r="A1615" s="39" t="s">
        <v>1501</v>
      </c>
      <c r="B1615" s="16" t="s">
        <v>1502</v>
      </c>
      <c r="C1615" s="16" t="s">
        <v>21</v>
      </c>
      <c r="D1615" s="17" t="s">
        <v>1503</v>
      </c>
      <c r="E1615" s="16" t="s">
        <v>588</v>
      </c>
      <c r="F1615" s="27">
        <v>6</v>
      </c>
      <c r="G1615" s="67">
        <v>302.69</v>
      </c>
      <c r="H1615" s="67">
        <v>365.04</v>
      </c>
      <c r="I1615" s="18">
        <v>2190.2399999999998</v>
      </c>
      <c r="J1615" s="40">
        <v>1.2513429123226486E-4</v>
      </c>
    </row>
    <row r="1616" spans="1:10" x14ac:dyDescent="0.25">
      <c r="A1616" s="43" t="s">
        <v>24</v>
      </c>
      <c r="B1616" s="83"/>
      <c r="C1616" s="83"/>
      <c r="D1616" s="84" t="s">
        <v>3</v>
      </c>
      <c r="E1616" s="85" t="s">
        <v>25</v>
      </c>
      <c r="F1616" s="85"/>
      <c r="G1616" s="85"/>
      <c r="H1616" s="86"/>
      <c r="I1616" s="87" t="s">
        <v>1911</v>
      </c>
      <c r="J1616" s="44"/>
    </row>
    <row r="1617" spans="1:10" x14ac:dyDescent="0.25">
      <c r="A1617" s="51"/>
      <c r="B1617" s="83"/>
      <c r="C1617" s="83"/>
      <c r="D1617" s="84" t="s">
        <v>764</v>
      </c>
      <c r="E1617" s="85">
        <f>6</f>
        <v>6</v>
      </c>
      <c r="F1617" s="85"/>
      <c r="G1617" s="85"/>
      <c r="H1617" s="85"/>
      <c r="I1617" s="88">
        <v>6</v>
      </c>
      <c r="J1617" s="44" t="s">
        <v>27</v>
      </c>
    </row>
    <row r="1618" spans="1:10" x14ac:dyDescent="0.25">
      <c r="A1618" s="39" t="s">
        <v>1504</v>
      </c>
      <c r="B1618" s="16" t="s">
        <v>1505</v>
      </c>
      <c r="C1618" s="16" t="s">
        <v>56</v>
      </c>
      <c r="D1618" s="17" t="s">
        <v>1506</v>
      </c>
      <c r="E1618" s="16" t="s">
        <v>1083</v>
      </c>
      <c r="F1618" s="27">
        <v>24</v>
      </c>
      <c r="G1618" s="67">
        <v>58.31</v>
      </c>
      <c r="H1618" s="67">
        <v>70.319999999999993</v>
      </c>
      <c r="I1618" s="18">
        <v>1687.68</v>
      </c>
      <c r="J1618" s="40">
        <v>9.642168923354005E-5</v>
      </c>
    </row>
    <row r="1619" spans="1:10" x14ac:dyDescent="0.25">
      <c r="A1619" s="43" t="s">
        <v>24</v>
      </c>
      <c r="B1619" s="83"/>
      <c r="C1619" s="83"/>
      <c r="D1619" s="84" t="s">
        <v>3</v>
      </c>
      <c r="E1619" s="85" t="s">
        <v>25</v>
      </c>
      <c r="F1619" s="85"/>
      <c r="G1619" s="85"/>
      <c r="H1619" s="86"/>
      <c r="I1619" s="87" t="s">
        <v>1911</v>
      </c>
      <c r="J1619" s="44"/>
    </row>
    <row r="1620" spans="1:10" x14ac:dyDescent="0.25">
      <c r="A1620" s="51"/>
      <c r="B1620" s="83"/>
      <c r="C1620" s="83"/>
      <c r="D1620" s="84" t="s">
        <v>764</v>
      </c>
      <c r="E1620" s="85">
        <f>24</f>
        <v>24</v>
      </c>
      <c r="F1620" s="85"/>
      <c r="G1620" s="85"/>
      <c r="H1620" s="85"/>
      <c r="I1620" s="88">
        <v>24</v>
      </c>
      <c r="J1620" s="44" t="s">
        <v>27</v>
      </c>
    </row>
    <row r="1621" spans="1:10" x14ac:dyDescent="0.25">
      <c r="A1621" s="39" t="s">
        <v>1507</v>
      </c>
      <c r="B1621" s="16" t="s">
        <v>1508</v>
      </c>
      <c r="C1621" s="16" t="s">
        <v>582</v>
      </c>
      <c r="D1621" s="17" t="s">
        <v>1509</v>
      </c>
      <c r="E1621" s="16" t="s">
        <v>588</v>
      </c>
      <c r="F1621" s="27">
        <v>6</v>
      </c>
      <c r="G1621" s="67">
        <v>158.88</v>
      </c>
      <c r="H1621" s="67">
        <v>191.6</v>
      </c>
      <c r="I1621" s="18">
        <v>1149.5999999999999</v>
      </c>
      <c r="J1621" s="40">
        <v>6.5679734275975098E-5</v>
      </c>
    </row>
    <row r="1622" spans="1:10" x14ac:dyDescent="0.25">
      <c r="A1622" s="43" t="s">
        <v>24</v>
      </c>
      <c r="B1622" s="83"/>
      <c r="C1622" s="83"/>
      <c r="D1622" s="84" t="s">
        <v>3</v>
      </c>
      <c r="E1622" s="85" t="s">
        <v>25</v>
      </c>
      <c r="F1622" s="85"/>
      <c r="G1622" s="85"/>
      <c r="H1622" s="86"/>
      <c r="I1622" s="87" t="s">
        <v>1911</v>
      </c>
      <c r="J1622" s="44"/>
    </row>
    <row r="1623" spans="1:10" x14ac:dyDescent="0.25">
      <c r="A1623" s="51"/>
      <c r="B1623" s="83"/>
      <c r="C1623" s="83"/>
      <c r="D1623" s="84" t="s">
        <v>764</v>
      </c>
      <c r="E1623" s="85">
        <f>6</f>
        <v>6</v>
      </c>
      <c r="F1623" s="85"/>
      <c r="G1623" s="85"/>
      <c r="H1623" s="85"/>
      <c r="I1623" s="88">
        <v>6</v>
      </c>
      <c r="J1623" s="44" t="s">
        <v>27</v>
      </c>
    </row>
    <row r="1624" spans="1:10" ht="26.4" x14ac:dyDescent="0.25">
      <c r="A1624" s="39" t="s">
        <v>1510</v>
      </c>
      <c r="B1624" s="16" t="s">
        <v>1511</v>
      </c>
      <c r="C1624" s="16" t="s">
        <v>21</v>
      </c>
      <c r="D1624" s="17" t="s">
        <v>1512</v>
      </c>
      <c r="E1624" s="16" t="s">
        <v>588</v>
      </c>
      <c r="F1624" s="27">
        <v>84</v>
      </c>
      <c r="G1624" s="67">
        <v>28.09</v>
      </c>
      <c r="H1624" s="67">
        <v>33.869999999999997</v>
      </c>
      <c r="I1624" s="18">
        <v>2845.08</v>
      </c>
      <c r="J1624" s="40">
        <v>1.6254705844980099E-4</v>
      </c>
    </row>
    <row r="1625" spans="1:10" x14ac:dyDescent="0.25">
      <c r="A1625" s="43" t="s">
        <v>24</v>
      </c>
      <c r="B1625" s="83"/>
      <c r="C1625" s="83"/>
      <c r="D1625" s="84" t="s">
        <v>3</v>
      </c>
      <c r="E1625" s="85" t="s">
        <v>25</v>
      </c>
      <c r="F1625" s="85"/>
      <c r="G1625" s="85"/>
      <c r="H1625" s="86"/>
      <c r="I1625" s="87" t="s">
        <v>1911</v>
      </c>
      <c r="J1625" s="44"/>
    </row>
    <row r="1626" spans="1:10" x14ac:dyDescent="0.25">
      <c r="A1626" s="51"/>
      <c r="B1626" s="83"/>
      <c r="C1626" s="83"/>
      <c r="D1626" s="84" t="s">
        <v>764</v>
      </c>
      <c r="E1626" s="85">
        <f>84</f>
        <v>84</v>
      </c>
      <c r="F1626" s="85"/>
      <c r="G1626" s="85"/>
      <c r="H1626" s="85"/>
      <c r="I1626" s="88">
        <v>84</v>
      </c>
      <c r="J1626" s="44" t="s">
        <v>27</v>
      </c>
    </row>
    <row r="1627" spans="1:10" x14ac:dyDescent="0.25">
      <c r="A1627" s="39" t="s">
        <v>1513</v>
      </c>
      <c r="B1627" s="16" t="s">
        <v>1514</v>
      </c>
      <c r="C1627" s="16" t="s">
        <v>582</v>
      </c>
      <c r="D1627" s="17" t="s">
        <v>1515</v>
      </c>
      <c r="E1627" s="16" t="s">
        <v>588</v>
      </c>
      <c r="F1627" s="27">
        <v>53</v>
      </c>
      <c r="G1627" s="67">
        <v>26.99</v>
      </c>
      <c r="H1627" s="67">
        <v>32.54</v>
      </c>
      <c r="I1627" s="18">
        <v>1724.62</v>
      </c>
      <c r="J1627" s="40">
        <v>9.8532170604586093E-5</v>
      </c>
    </row>
    <row r="1628" spans="1:10" x14ac:dyDescent="0.25">
      <c r="A1628" s="43" t="s">
        <v>24</v>
      </c>
      <c r="B1628" s="83"/>
      <c r="C1628" s="83"/>
      <c r="D1628" s="84" t="s">
        <v>3</v>
      </c>
      <c r="E1628" s="85" t="s">
        <v>25</v>
      </c>
      <c r="F1628" s="85"/>
      <c r="G1628" s="85"/>
      <c r="H1628" s="86"/>
      <c r="I1628" s="87" t="s">
        <v>1911</v>
      </c>
      <c r="J1628" s="44"/>
    </row>
    <row r="1629" spans="1:10" x14ac:dyDescent="0.25">
      <c r="A1629" s="51"/>
      <c r="B1629" s="83"/>
      <c r="C1629" s="83"/>
      <c r="D1629" s="84" t="s">
        <v>764</v>
      </c>
      <c r="E1629" s="85">
        <f>53</f>
        <v>53</v>
      </c>
      <c r="F1629" s="85"/>
      <c r="G1629" s="85"/>
      <c r="H1629" s="85"/>
      <c r="I1629" s="88">
        <v>53</v>
      </c>
      <c r="J1629" s="44" t="s">
        <v>27</v>
      </c>
    </row>
    <row r="1630" spans="1:10" ht="26.4" x14ac:dyDescent="0.25">
      <c r="A1630" s="39" t="s">
        <v>1516</v>
      </c>
      <c r="B1630" s="16" t="s">
        <v>1517</v>
      </c>
      <c r="C1630" s="16" t="s">
        <v>56</v>
      </c>
      <c r="D1630" s="17" t="s">
        <v>1518</v>
      </c>
      <c r="E1630" s="16" t="s">
        <v>1083</v>
      </c>
      <c r="F1630" s="27">
        <v>32</v>
      </c>
      <c r="G1630" s="67">
        <v>23.65</v>
      </c>
      <c r="H1630" s="67">
        <v>28.52</v>
      </c>
      <c r="I1630" s="18">
        <v>912.64</v>
      </c>
      <c r="J1630" s="40">
        <v>5.2141573320829777E-5</v>
      </c>
    </row>
    <row r="1631" spans="1:10" x14ac:dyDescent="0.25">
      <c r="A1631" s="43" t="s">
        <v>24</v>
      </c>
      <c r="B1631" s="83"/>
      <c r="C1631" s="83"/>
      <c r="D1631" s="84" t="s">
        <v>3</v>
      </c>
      <c r="E1631" s="85" t="s">
        <v>25</v>
      </c>
      <c r="F1631" s="85"/>
      <c r="G1631" s="85"/>
      <c r="H1631" s="86"/>
      <c r="I1631" s="87" t="s">
        <v>1911</v>
      </c>
      <c r="J1631" s="44"/>
    </row>
    <row r="1632" spans="1:10" x14ac:dyDescent="0.25">
      <c r="A1632" s="51"/>
      <c r="B1632" s="83"/>
      <c r="C1632" s="83"/>
      <c r="D1632" s="84" t="s">
        <v>764</v>
      </c>
      <c r="E1632" s="85">
        <f>32</f>
        <v>32</v>
      </c>
      <c r="F1632" s="85"/>
      <c r="G1632" s="85"/>
      <c r="H1632" s="85"/>
      <c r="I1632" s="88">
        <v>32</v>
      </c>
      <c r="J1632" s="44" t="s">
        <v>27</v>
      </c>
    </row>
    <row r="1633" spans="1:10" x14ac:dyDescent="0.25">
      <c r="A1633" s="39" t="s">
        <v>1519</v>
      </c>
      <c r="B1633" s="16" t="s">
        <v>1520</v>
      </c>
      <c r="C1633" s="16" t="s">
        <v>582</v>
      </c>
      <c r="D1633" s="17" t="s">
        <v>1521</v>
      </c>
      <c r="E1633" s="16" t="s">
        <v>588</v>
      </c>
      <c r="F1633" s="27">
        <v>24</v>
      </c>
      <c r="G1633" s="67">
        <v>20.99</v>
      </c>
      <c r="H1633" s="67">
        <v>25.31</v>
      </c>
      <c r="I1633" s="18">
        <v>607.44000000000005</v>
      </c>
      <c r="J1633" s="40">
        <v>3.4704677965029845E-5</v>
      </c>
    </row>
    <row r="1634" spans="1:10" x14ac:dyDescent="0.25">
      <c r="A1634" s="43" t="s">
        <v>24</v>
      </c>
      <c r="B1634" s="83"/>
      <c r="C1634" s="83"/>
      <c r="D1634" s="84" t="s">
        <v>3</v>
      </c>
      <c r="E1634" s="85" t="s">
        <v>25</v>
      </c>
      <c r="F1634" s="85"/>
      <c r="G1634" s="85"/>
      <c r="H1634" s="86"/>
      <c r="I1634" s="87" t="s">
        <v>1911</v>
      </c>
      <c r="J1634" s="44"/>
    </row>
    <row r="1635" spans="1:10" x14ac:dyDescent="0.25">
      <c r="A1635" s="51"/>
      <c r="B1635" s="83"/>
      <c r="C1635" s="83"/>
      <c r="D1635" s="84" t="s">
        <v>764</v>
      </c>
      <c r="E1635" s="85">
        <f>24</f>
        <v>24</v>
      </c>
      <c r="F1635" s="85"/>
      <c r="G1635" s="85"/>
      <c r="H1635" s="85"/>
      <c r="I1635" s="88">
        <v>24</v>
      </c>
      <c r="J1635" s="44" t="s">
        <v>27</v>
      </c>
    </row>
    <row r="1636" spans="1:10" ht="26.4" x14ac:dyDescent="0.25">
      <c r="A1636" s="39" t="s">
        <v>1522</v>
      </c>
      <c r="B1636" s="16" t="s">
        <v>1523</v>
      </c>
      <c r="C1636" s="16" t="s">
        <v>21</v>
      </c>
      <c r="D1636" s="17" t="s">
        <v>1524</v>
      </c>
      <c r="E1636" s="16" t="s">
        <v>23</v>
      </c>
      <c r="F1636" s="27">
        <v>24</v>
      </c>
      <c r="G1636" s="67">
        <v>23.87</v>
      </c>
      <c r="H1636" s="67">
        <v>28.78</v>
      </c>
      <c r="I1636" s="18">
        <v>690.72</v>
      </c>
      <c r="J1636" s="40">
        <v>3.946268794285101E-5</v>
      </c>
    </row>
    <row r="1637" spans="1:10" x14ac:dyDescent="0.25">
      <c r="A1637" s="43" t="s">
        <v>24</v>
      </c>
      <c r="B1637" s="83"/>
      <c r="C1637" s="83"/>
      <c r="D1637" s="84" t="s">
        <v>3</v>
      </c>
      <c r="E1637" s="85" t="s">
        <v>25</v>
      </c>
      <c r="F1637" s="85"/>
      <c r="G1637" s="85"/>
      <c r="H1637" s="86"/>
      <c r="I1637" s="87" t="s">
        <v>1911</v>
      </c>
      <c r="J1637" s="44"/>
    </row>
    <row r="1638" spans="1:10" x14ac:dyDescent="0.25">
      <c r="A1638" s="51"/>
      <c r="B1638" s="83"/>
      <c r="C1638" s="83"/>
      <c r="D1638" s="84" t="s">
        <v>764</v>
      </c>
      <c r="E1638" s="85">
        <f>24</f>
        <v>24</v>
      </c>
      <c r="F1638" s="85"/>
      <c r="G1638" s="85"/>
      <c r="H1638" s="85"/>
      <c r="I1638" s="88">
        <v>24</v>
      </c>
      <c r="J1638" s="44" t="s">
        <v>27</v>
      </c>
    </row>
    <row r="1639" spans="1:10" x14ac:dyDescent="0.25">
      <c r="A1639" s="41" t="s">
        <v>1525</v>
      </c>
      <c r="B1639" s="13"/>
      <c r="C1639" s="13"/>
      <c r="D1639" s="14" t="s">
        <v>1526</v>
      </c>
      <c r="E1639" s="14"/>
      <c r="F1639" s="26">
        <v>1</v>
      </c>
      <c r="G1639" s="66"/>
      <c r="H1639" s="66"/>
      <c r="I1639" s="15">
        <v>677775.92</v>
      </c>
      <c r="J1639" s="42">
        <v>3.872315790210034E-2</v>
      </c>
    </row>
    <row r="1640" spans="1:10" x14ac:dyDescent="0.25">
      <c r="A1640" s="41" t="s">
        <v>1527</v>
      </c>
      <c r="B1640" s="13"/>
      <c r="C1640" s="13"/>
      <c r="D1640" s="14" t="s">
        <v>1528</v>
      </c>
      <c r="E1640" s="14"/>
      <c r="F1640" s="26">
        <v>1</v>
      </c>
      <c r="G1640" s="66"/>
      <c r="H1640" s="66"/>
      <c r="I1640" s="15">
        <v>79510.100000000006</v>
      </c>
      <c r="J1640" s="42">
        <v>4.5426254699514682E-3</v>
      </c>
    </row>
    <row r="1641" spans="1:10" ht="39.6" x14ac:dyDescent="0.25">
      <c r="A1641" s="39" t="s">
        <v>1529</v>
      </c>
      <c r="B1641" s="16" t="s">
        <v>1530</v>
      </c>
      <c r="C1641" s="16" t="s">
        <v>21</v>
      </c>
      <c r="D1641" s="17" t="s">
        <v>1531</v>
      </c>
      <c r="E1641" s="16" t="s">
        <v>588</v>
      </c>
      <c r="F1641" s="27">
        <v>1</v>
      </c>
      <c r="G1641" s="67">
        <v>1585.98</v>
      </c>
      <c r="H1641" s="67">
        <v>1912.69</v>
      </c>
      <c r="I1641" s="18">
        <v>1912.69</v>
      </c>
      <c r="J1641" s="40">
        <v>1.0927711460709361E-4</v>
      </c>
    </row>
    <row r="1642" spans="1:10" x14ac:dyDescent="0.25">
      <c r="A1642" s="43" t="s">
        <v>24</v>
      </c>
      <c r="B1642" s="83"/>
      <c r="C1642" s="83"/>
      <c r="D1642" s="84" t="s">
        <v>3</v>
      </c>
      <c r="E1642" s="85" t="s">
        <v>25</v>
      </c>
      <c r="F1642" s="85"/>
      <c r="G1642" s="85"/>
      <c r="H1642" s="86"/>
      <c r="I1642" s="87" t="s">
        <v>1911</v>
      </c>
      <c r="J1642" s="44"/>
    </row>
    <row r="1643" spans="1:10" x14ac:dyDescent="0.25">
      <c r="A1643" s="51"/>
      <c r="B1643" s="83"/>
      <c r="C1643" s="83"/>
      <c r="D1643" s="84" t="s">
        <v>764</v>
      </c>
      <c r="E1643" s="85">
        <f>1</f>
        <v>1</v>
      </c>
      <c r="F1643" s="85"/>
      <c r="G1643" s="85"/>
      <c r="H1643" s="85"/>
      <c r="I1643" s="88">
        <v>1</v>
      </c>
      <c r="J1643" s="44" t="s">
        <v>27</v>
      </c>
    </row>
    <row r="1644" spans="1:10" ht="39.6" x14ac:dyDescent="0.25">
      <c r="A1644" s="39" t="s">
        <v>1532</v>
      </c>
      <c r="B1644" s="16" t="s">
        <v>1533</v>
      </c>
      <c r="C1644" s="16" t="s">
        <v>21</v>
      </c>
      <c r="D1644" s="17" t="s">
        <v>1534</v>
      </c>
      <c r="E1644" s="16" t="s">
        <v>588</v>
      </c>
      <c r="F1644" s="27">
        <v>1</v>
      </c>
      <c r="G1644" s="67">
        <v>2156</v>
      </c>
      <c r="H1644" s="67">
        <v>2600.13</v>
      </c>
      <c r="I1644" s="18">
        <v>2600.13</v>
      </c>
      <c r="J1644" s="40">
        <v>1.4855240734428594E-4</v>
      </c>
    </row>
    <row r="1645" spans="1:10" x14ac:dyDescent="0.25">
      <c r="A1645" s="43" t="s">
        <v>24</v>
      </c>
      <c r="B1645" s="83"/>
      <c r="C1645" s="83"/>
      <c r="D1645" s="84" t="s">
        <v>3</v>
      </c>
      <c r="E1645" s="85" t="s">
        <v>25</v>
      </c>
      <c r="F1645" s="85"/>
      <c r="G1645" s="85"/>
      <c r="H1645" s="86"/>
      <c r="I1645" s="87" t="s">
        <v>1911</v>
      </c>
      <c r="J1645" s="44"/>
    </row>
    <row r="1646" spans="1:10" x14ac:dyDescent="0.25">
      <c r="A1646" s="51"/>
      <c r="B1646" s="83"/>
      <c r="C1646" s="83"/>
      <c r="D1646" s="84" t="s">
        <v>764</v>
      </c>
      <c r="E1646" s="85">
        <f>1</f>
        <v>1</v>
      </c>
      <c r="F1646" s="85"/>
      <c r="G1646" s="85"/>
      <c r="H1646" s="85"/>
      <c r="I1646" s="88">
        <v>1</v>
      </c>
      <c r="J1646" s="44" t="s">
        <v>27</v>
      </c>
    </row>
    <row r="1647" spans="1:10" ht="39.6" x14ac:dyDescent="0.25">
      <c r="A1647" s="39" t="s">
        <v>1535</v>
      </c>
      <c r="B1647" s="16" t="s">
        <v>1536</v>
      </c>
      <c r="C1647" s="16" t="s">
        <v>21</v>
      </c>
      <c r="D1647" s="17" t="s">
        <v>1537</v>
      </c>
      <c r="E1647" s="16" t="s">
        <v>588</v>
      </c>
      <c r="F1647" s="27">
        <v>9</v>
      </c>
      <c r="G1647" s="67">
        <v>514.55999999999995</v>
      </c>
      <c r="H1647" s="67">
        <v>620.54999999999995</v>
      </c>
      <c r="I1647" s="18">
        <v>5584.95</v>
      </c>
      <c r="J1647" s="40">
        <v>3.190831871473618E-4</v>
      </c>
    </row>
    <row r="1648" spans="1:10" x14ac:dyDescent="0.25">
      <c r="A1648" s="43" t="s">
        <v>24</v>
      </c>
      <c r="B1648" s="83"/>
      <c r="C1648" s="83"/>
      <c r="D1648" s="84" t="s">
        <v>3</v>
      </c>
      <c r="E1648" s="85" t="s">
        <v>25</v>
      </c>
      <c r="F1648" s="85"/>
      <c r="G1648" s="85"/>
      <c r="H1648" s="86"/>
      <c r="I1648" s="87" t="s">
        <v>1911</v>
      </c>
      <c r="J1648" s="44"/>
    </row>
    <row r="1649" spans="1:10" x14ac:dyDescent="0.25">
      <c r="A1649" s="51"/>
      <c r="B1649" s="83"/>
      <c r="C1649" s="83"/>
      <c r="D1649" s="84" t="s">
        <v>764</v>
      </c>
      <c r="E1649" s="85">
        <f>9</f>
        <v>9</v>
      </c>
      <c r="F1649" s="85"/>
      <c r="G1649" s="85"/>
      <c r="H1649" s="85"/>
      <c r="I1649" s="88">
        <v>9</v>
      </c>
      <c r="J1649" s="44" t="s">
        <v>27</v>
      </c>
    </row>
    <row r="1650" spans="1:10" ht="39.6" x14ac:dyDescent="0.25">
      <c r="A1650" s="39" t="s">
        <v>1538</v>
      </c>
      <c r="B1650" s="16" t="s">
        <v>1539</v>
      </c>
      <c r="C1650" s="16" t="s">
        <v>21</v>
      </c>
      <c r="D1650" s="17" t="s">
        <v>1540</v>
      </c>
      <c r="E1650" s="16" t="s">
        <v>588</v>
      </c>
      <c r="F1650" s="27">
        <v>9</v>
      </c>
      <c r="G1650" s="67">
        <v>593.01</v>
      </c>
      <c r="H1650" s="67">
        <v>715.17</v>
      </c>
      <c r="I1650" s="18">
        <v>6436.53</v>
      </c>
      <c r="J1650" s="40">
        <v>3.6773623874333854E-4</v>
      </c>
    </row>
    <row r="1651" spans="1:10" x14ac:dyDescent="0.25">
      <c r="A1651" s="43" t="s">
        <v>24</v>
      </c>
      <c r="B1651" s="83"/>
      <c r="C1651" s="83"/>
      <c r="D1651" s="84" t="s">
        <v>3</v>
      </c>
      <c r="E1651" s="85" t="s">
        <v>25</v>
      </c>
      <c r="F1651" s="85"/>
      <c r="G1651" s="85"/>
      <c r="H1651" s="86"/>
      <c r="I1651" s="87" t="s">
        <v>1911</v>
      </c>
      <c r="J1651" s="44"/>
    </row>
    <row r="1652" spans="1:10" x14ac:dyDescent="0.25">
      <c r="A1652" s="51"/>
      <c r="B1652" s="83"/>
      <c r="C1652" s="83"/>
      <c r="D1652" s="84" t="s">
        <v>764</v>
      </c>
      <c r="E1652" s="85">
        <f>9</f>
        <v>9</v>
      </c>
      <c r="F1652" s="85"/>
      <c r="G1652" s="85"/>
      <c r="H1652" s="85"/>
      <c r="I1652" s="88">
        <v>9</v>
      </c>
      <c r="J1652" s="44" t="s">
        <v>27</v>
      </c>
    </row>
    <row r="1653" spans="1:10" ht="39.6" x14ac:dyDescent="0.25">
      <c r="A1653" s="39" t="s">
        <v>1541</v>
      </c>
      <c r="B1653" s="16" t="s">
        <v>1542</v>
      </c>
      <c r="C1653" s="16" t="s">
        <v>14</v>
      </c>
      <c r="D1653" s="17" t="s">
        <v>1543</v>
      </c>
      <c r="E1653" s="16" t="s">
        <v>16</v>
      </c>
      <c r="F1653" s="27">
        <v>1</v>
      </c>
      <c r="G1653" s="67">
        <v>52218.74</v>
      </c>
      <c r="H1653" s="67">
        <v>62975.8</v>
      </c>
      <c r="I1653" s="18">
        <v>62975.8</v>
      </c>
      <c r="J1653" s="40">
        <v>3.597976522109388E-3</v>
      </c>
    </row>
    <row r="1654" spans="1:10" x14ac:dyDescent="0.25">
      <c r="A1654" s="43" t="s">
        <v>24</v>
      </c>
      <c r="B1654" s="83"/>
      <c r="C1654" s="83"/>
      <c r="D1654" s="84" t="s">
        <v>3</v>
      </c>
      <c r="E1654" s="85" t="s">
        <v>25</v>
      </c>
      <c r="F1654" s="85"/>
      <c r="G1654" s="85"/>
      <c r="H1654" s="86"/>
      <c r="I1654" s="87" t="s">
        <v>1911</v>
      </c>
      <c r="J1654" s="44"/>
    </row>
    <row r="1655" spans="1:10" x14ac:dyDescent="0.25">
      <c r="A1655" s="51"/>
      <c r="B1655" s="83"/>
      <c r="C1655" s="83"/>
      <c r="D1655" s="84" t="s">
        <v>764</v>
      </c>
      <c r="E1655" s="85">
        <f>1</f>
        <v>1</v>
      </c>
      <c r="F1655" s="85"/>
      <c r="G1655" s="85"/>
      <c r="H1655" s="85"/>
      <c r="I1655" s="88">
        <v>1</v>
      </c>
      <c r="J1655" s="44" t="s">
        <v>27</v>
      </c>
    </row>
    <row r="1656" spans="1:10" x14ac:dyDescent="0.25">
      <c r="A1656" s="41" t="s">
        <v>1544</v>
      </c>
      <c r="B1656" s="13"/>
      <c r="C1656" s="13"/>
      <c r="D1656" s="14" t="s">
        <v>1545</v>
      </c>
      <c r="E1656" s="14"/>
      <c r="F1656" s="26">
        <v>1</v>
      </c>
      <c r="G1656" s="66"/>
      <c r="H1656" s="66"/>
      <c r="I1656" s="15">
        <v>14412.83</v>
      </c>
      <c r="J1656" s="42">
        <v>8.2344367133333515E-4</v>
      </c>
    </row>
    <row r="1657" spans="1:10" ht="26.4" x14ac:dyDescent="0.25">
      <c r="A1657" s="39" t="s">
        <v>1546</v>
      </c>
      <c r="B1657" s="16" t="s">
        <v>1547</v>
      </c>
      <c r="C1657" s="16" t="s">
        <v>21</v>
      </c>
      <c r="D1657" s="17" t="s">
        <v>1548</v>
      </c>
      <c r="E1657" s="16" t="s">
        <v>588</v>
      </c>
      <c r="F1657" s="27">
        <v>9</v>
      </c>
      <c r="G1657" s="67">
        <v>180.26</v>
      </c>
      <c r="H1657" s="67">
        <v>217.39</v>
      </c>
      <c r="I1657" s="18">
        <v>1956.51</v>
      </c>
      <c r="J1657" s="40">
        <v>1.1178066884854562E-4</v>
      </c>
    </row>
    <row r="1658" spans="1:10" x14ac:dyDescent="0.25">
      <c r="A1658" s="43" t="s">
        <v>24</v>
      </c>
      <c r="B1658" s="83"/>
      <c r="C1658" s="83"/>
      <c r="D1658" s="84" t="s">
        <v>3</v>
      </c>
      <c r="E1658" s="85" t="s">
        <v>25</v>
      </c>
      <c r="F1658" s="85"/>
      <c r="G1658" s="85"/>
      <c r="H1658" s="86"/>
      <c r="I1658" s="87" t="s">
        <v>1911</v>
      </c>
      <c r="J1658" s="44"/>
    </row>
    <row r="1659" spans="1:10" x14ac:dyDescent="0.25">
      <c r="A1659" s="51"/>
      <c r="B1659" s="83"/>
      <c r="C1659" s="83"/>
      <c r="D1659" s="84" t="s">
        <v>764</v>
      </c>
      <c r="E1659" s="85">
        <f>9</f>
        <v>9</v>
      </c>
      <c r="F1659" s="85"/>
      <c r="G1659" s="85"/>
      <c r="H1659" s="85"/>
      <c r="I1659" s="88">
        <v>9</v>
      </c>
      <c r="J1659" s="44" t="s">
        <v>27</v>
      </c>
    </row>
    <row r="1660" spans="1:10" ht="26.4" x14ac:dyDescent="0.25">
      <c r="A1660" s="39" t="s">
        <v>1549</v>
      </c>
      <c r="B1660" s="16" t="s">
        <v>1550</v>
      </c>
      <c r="C1660" s="16" t="s">
        <v>21</v>
      </c>
      <c r="D1660" s="17" t="s">
        <v>1551</v>
      </c>
      <c r="E1660" s="16" t="s">
        <v>588</v>
      </c>
      <c r="F1660" s="27">
        <v>2</v>
      </c>
      <c r="G1660" s="67">
        <v>110.66</v>
      </c>
      <c r="H1660" s="67">
        <v>133.44999999999999</v>
      </c>
      <c r="I1660" s="18">
        <v>266.89999999999998</v>
      </c>
      <c r="J1660" s="40">
        <v>1.5248713533627134E-5</v>
      </c>
    </row>
    <row r="1661" spans="1:10" x14ac:dyDescent="0.25">
      <c r="A1661" s="43" t="s">
        <v>24</v>
      </c>
      <c r="B1661" s="83"/>
      <c r="C1661" s="83"/>
      <c r="D1661" s="84" t="s">
        <v>3</v>
      </c>
      <c r="E1661" s="85" t="s">
        <v>25</v>
      </c>
      <c r="F1661" s="85"/>
      <c r="G1661" s="85"/>
      <c r="H1661" s="86"/>
      <c r="I1661" s="87" t="s">
        <v>1911</v>
      </c>
      <c r="J1661" s="44"/>
    </row>
    <row r="1662" spans="1:10" x14ac:dyDescent="0.25">
      <c r="A1662" s="51"/>
      <c r="B1662" s="83"/>
      <c r="C1662" s="83"/>
      <c r="D1662" s="84" t="s">
        <v>764</v>
      </c>
      <c r="E1662" s="85">
        <f>2</f>
        <v>2</v>
      </c>
      <c r="F1662" s="85"/>
      <c r="G1662" s="85"/>
      <c r="H1662" s="85"/>
      <c r="I1662" s="88">
        <v>2</v>
      </c>
      <c r="J1662" s="44" t="s">
        <v>27</v>
      </c>
    </row>
    <row r="1663" spans="1:10" ht="26.4" x14ac:dyDescent="0.25">
      <c r="A1663" s="39" t="s">
        <v>1552</v>
      </c>
      <c r="B1663" s="16" t="s">
        <v>1553</v>
      </c>
      <c r="C1663" s="16" t="s">
        <v>21</v>
      </c>
      <c r="D1663" s="17" t="s">
        <v>1554</v>
      </c>
      <c r="E1663" s="16" t="s">
        <v>588</v>
      </c>
      <c r="F1663" s="27">
        <v>74</v>
      </c>
      <c r="G1663" s="67">
        <v>101.69</v>
      </c>
      <c r="H1663" s="67">
        <v>122.63</v>
      </c>
      <c r="I1663" s="18">
        <v>9074.6200000000008</v>
      </c>
      <c r="J1663" s="40">
        <v>5.1845740279701563E-4</v>
      </c>
    </row>
    <row r="1664" spans="1:10" x14ac:dyDescent="0.25">
      <c r="A1664" s="43" t="s">
        <v>24</v>
      </c>
      <c r="B1664" s="83"/>
      <c r="C1664" s="83"/>
      <c r="D1664" s="84" t="s">
        <v>3</v>
      </c>
      <c r="E1664" s="85" t="s">
        <v>25</v>
      </c>
      <c r="F1664" s="85"/>
      <c r="G1664" s="85"/>
      <c r="H1664" s="86"/>
      <c r="I1664" s="87" t="s">
        <v>1911</v>
      </c>
      <c r="J1664" s="44"/>
    </row>
    <row r="1665" spans="1:10" x14ac:dyDescent="0.25">
      <c r="A1665" s="51"/>
      <c r="B1665" s="83"/>
      <c r="C1665" s="83"/>
      <c r="D1665" s="84" t="s">
        <v>764</v>
      </c>
      <c r="E1665" s="85">
        <f>74</f>
        <v>74</v>
      </c>
      <c r="F1665" s="85"/>
      <c r="G1665" s="85"/>
      <c r="H1665" s="85"/>
      <c r="I1665" s="88">
        <v>74</v>
      </c>
      <c r="J1665" s="44" t="s">
        <v>27</v>
      </c>
    </row>
    <row r="1666" spans="1:10" ht="26.4" x14ac:dyDescent="0.25">
      <c r="A1666" s="39" t="s">
        <v>1555</v>
      </c>
      <c r="B1666" s="16" t="s">
        <v>1556</v>
      </c>
      <c r="C1666" s="16" t="s">
        <v>21</v>
      </c>
      <c r="D1666" s="17" t="s">
        <v>1557</v>
      </c>
      <c r="E1666" s="16" t="s">
        <v>588</v>
      </c>
      <c r="F1666" s="27">
        <v>1</v>
      </c>
      <c r="G1666" s="67">
        <v>94.9</v>
      </c>
      <c r="H1666" s="67">
        <v>114.44</v>
      </c>
      <c r="I1666" s="18">
        <v>114.44</v>
      </c>
      <c r="J1666" s="40">
        <v>6.5382644315784532E-6</v>
      </c>
    </row>
    <row r="1667" spans="1:10" x14ac:dyDescent="0.25">
      <c r="A1667" s="43" t="s">
        <v>24</v>
      </c>
      <c r="B1667" s="83"/>
      <c r="C1667" s="83"/>
      <c r="D1667" s="84" t="s">
        <v>3</v>
      </c>
      <c r="E1667" s="85" t="s">
        <v>25</v>
      </c>
      <c r="F1667" s="85"/>
      <c r="G1667" s="85"/>
      <c r="H1667" s="86"/>
      <c r="I1667" s="87" t="s">
        <v>1911</v>
      </c>
      <c r="J1667" s="44"/>
    </row>
    <row r="1668" spans="1:10" x14ac:dyDescent="0.25">
      <c r="A1668" s="51"/>
      <c r="B1668" s="83"/>
      <c r="C1668" s="83"/>
      <c r="D1668" s="84" t="s">
        <v>764</v>
      </c>
      <c r="E1668" s="85">
        <f>1</f>
        <v>1</v>
      </c>
      <c r="F1668" s="85"/>
      <c r="G1668" s="85"/>
      <c r="H1668" s="85"/>
      <c r="I1668" s="88">
        <v>1</v>
      </c>
      <c r="J1668" s="44" t="s">
        <v>27</v>
      </c>
    </row>
    <row r="1669" spans="1:10" ht="26.4" x14ac:dyDescent="0.25">
      <c r="A1669" s="39" t="s">
        <v>1558</v>
      </c>
      <c r="B1669" s="16" t="s">
        <v>1559</v>
      </c>
      <c r="C1669" s="16" t="s">
        <v>21</v>
      </c>
      <c r="D1669" s="17" t="s">
        <v>1560</v>
      </c>
      <c r="E1669" s="16" t="s">
        <v>588</v>
      </c>
      <c r="F1669" s="27">
        <v>132</v>
      </c>
      <c r="G1669" s="67">
        <v>18.850000000000001</v>
      </c>
      <c r="H1669" s="67">
        <v>22.73</v>
      </c>
      <c r="I1669" s="18">
        <v>3000.36</v>
      </c>
      <c r="J1669" s="40">
        <v>1.714186217225684E-4</v>
      </c>
    </row>
    <row r="1670" spans="1:10" x14ac:dyDescent="0.25">
      <c r="A1670" s="43" t="s">
        <v>24</v>
      </c>
      <c r="B1670" s="83"/>
      <c r="C1670" s="83"/>
      <c r="D1670" s="84" t="s">
        <v>3</v>
      </c>
      <c r="E1670" s="85" t="s">
        <v>25</v>
      </c>
      <c r="F1670" s="85"/>
      <c r="G1670" s="85"/>
      <c r="H1670" s="86"/>
      <c r="I1670" s="87" t="s">
        <v>1911</v>
      </c>
      <c r="J1670" s="44"/>
    </row>
    <row r="1671" spans="1:10" x14ac:dyDescent="0.25">
      <c r="A1671" s="51"/>
      <c r="B1671" s="83"/>
      <c r="C1671" s="83"/>
      <c r="D1671" s="84" t="s">
        <v>764</v>
      </c>
      <c r="E1671" s="85">
        <f>132</f>
        <v>132</v>
      </c>
      <c r="F1671" s="85"/>
      <c r="G1671" s="85"/>
      <c r="H1671" s="85"/>
      <c r="I1671" s="88">
        <v>132</v>
      </c>
      <c r="J1671" s="44" t="s">
        <v>27</v>
      </c>
    </row>
    <row r="1672" spans="1:10" x14ac:dyDescent="0.25">
      <c r="A1672" s="41" t="s">
        <v>1561</v>
      </c>
      <c r="B1672" s="13"/>
      <c r="C1672" s="13"/>
      <c r="D1672" s="14" t="s">
        <v>1562</v>
      </c>
      <c r="E1672" s="14"/>
      <c r="F1672" s="26">
        <v>1</v>
      </c>
      <c r="G1672" s="66"/>
      <c r="H1672" s="66"/>
      <c r="I1672" s="15">
        <v>126424.38</v>
      </c>
      <c r="J1672" s="42">
        <v>7.2229642348685631E-3</v>
      </c>
    </row>
    <row r="1673" spans="1:10" ht="39.6" x14ac:dyDescent="0.25">
      <c r="A1673" s="39" t="s">
        <v>1563</v>
      </c>
      <c r="B1673" s="16" t="s">
        <v>1564</v>
      </c>
      <c r="C1673" s="16" t="s">
        <v>21</v>
      </c>
      <c r="D1673" s="17" t="s">
        <v>1565</v>
      </c>
      <c r="E1673" s="16" t="s">
        <v>52</v>
      </c>
      <c r="F1673" s="27">
        <v>300</v>
      </c>
      <c r="G1673" s="67">
        <v>39.409999999999997</v>
      </c>
      <c r="H1673" s="67">
        <v>47.52</v>
      </c>
      <c r="I1673" s="18">
        <v>14256</v>
      </c>
      <c r="J1673" s="40">
        <v>8.1448355239935712E-4</v>
      </c>
    </row>
    <row r="1674" spans="1:10" x14ac:dyDescent="0.25">
      <c r="A1674" s="43" t="s">
        <v>24</v>
      </c>
      <c r="B1674" s="83"/>
      <c r="C1674" s="83"/>
      <c r="D1674" s="84" t="s">
        <v>3</v>
      </c>
      <c r="E1674" s="85" t="s">
        <v>25</v>
      </c>
      <c r="F1674" s="85"/>
      <c r="G1674" s="85"/>
      <c r="H1674" s="86"/>
      <c r="I1674" s="87" t="s">
        <v>1911</v>
      </c>
      <c r="J1674" s="44"/>
    </row>
    <row r="1675" spans="1:10" x14ac:dyDescent="0.25">
      <c r="A1675" s="51"/>
      <c r="B1675" s="83"/>
      <c r="C1675" s="83"/>
      <c r="D1675" s="84" t="s">
        <v>764</v>
      </c>
      <c r="E1675" s="85">
        <f>300</f>
        <v>300</v>
      </c>
      <c r="F1675" s="85"/>
      <c r="G1675" s="85"/>
      <c r="H1675" s="85"/>
      <c r="I1675" s="88">
        <v>300</v>
      </c>
      <c r="J1675" s="44" t="s">
        <v>27</v>
      </c>
    </row>
    <row r="1676" spans="1:10" ht="39.6" x14ac:dyDescent="0.25">
      <c r="A1676" s="39" t="s">
        <v>1566</v>
      </c>
      <c r="B1676" s="16" t="s">
        <v>1567</v>
      </c>
      <c r="C1676" s="16" t="s">
        <v>21</v>
      </c>
      <c r="D1676" s="17" t="s">
        <v>1568</v>
      </c>
      <c r="E1676" s="16" t="s">
        <v>52</v>
      </c>
      <c r="F1676" s="27">
        <v>200</v>
      </c>
      <c r="G1676" s="67">
        <v>18.77</v>
      </c>
      <c r="H1676" s="67">
        <v>22.63</v>
      </c>
      <c r="I1676" s="18">
        <v>4526</v>
      </c>
      <c r="J1676" s="40">
        <v>2.5858253073509334E-4</v>
      </c>
    </row>
    <row r="1677" spans="1:10" x14ac:dyDescent="0.25">
      <c r="A1677" s="43" t="s">
        <v>24</v>
      </c>
      <c r="B1677" s="83"/>
      <c r="C1677" s="83"/>
      <c r="D1677" s="84" t="s">
        <v>3</v>
      </c>
      <c r="E1677" s="85" t="s">
        <v>25</v>
      </c>
      <c r="F1677" s="85"/>
      <c r="G1677" s="85"/>
      <c r="H1677" s="86"/>
      <c r="I1677" s="87" t="s">
        <v>1911</v>
      </c>
      <c r="J1677" s="44"/>
    </row>
    <row r="1678" spans="1:10" x14ac:dyDescent="0.25">
      <c r="A1678" s="51"/>
      <c r="B1678" s="83"/>
      <c r="C1678" s="83"/>
      <c r="D1678" s="84" t="s">
        <v>764</v>
      </c>
      <c r="E1678" s="85">
        <f>200</f>
        <v>200</v>
      </c>
      <c r="F1678" s="85"/>
      <c r="G1678" s="85"/>
      <c r="H1678" s="85"/>
      <c r="I1678" s="88">
        <v>200</v>
      </c>
      <c r="J1678" s="44" t="s">
        <v>27</v>
      </c>
    </row>
    <row r="1679" spans="1:10" ht="39.6" x14ac:dyDescent="0.25">
      <c r="A1679" s="39" t="s">
        <v>1569</v>
      </c>
      <c r="B1679" s="16" t="s">
        <v>1570</v>
      </c>
      <c r="C1679" s="16" t="s">
        <v>21</v>
      </c>
      <c r="D1679" s="17" t="s">
        <v>1571</v>
      </c>
      <c r="E1679" s="16" t="s">
        <v>52</v>
      </c>
      <c r="F1679" s="27">
        <v>398.48</v>
      </c>
      <c r="G1679" s="67">
        <v>21.7</v>
      </c>
      <c r="H1679" s="67">
        <v>26.17</v>
      </c>
      <c r="I1679" s="18">
        <v>10428.219999999999</v>
      </c>
      <c r="J1679" s="40">
        <v>5.9579220474200508E-4</v>
      </c>
    </row>
    <row r="1680" spans="1:10" x14ac:dyDescent="0.25">
      <c r="A1680" s="43" t="s">
        <v>24</v>
      </c>
      <c r="B1680" s="83"/>
      <c r="C1680" s="83"/>
      <c r="D1680" s="84" t="s">
        <v>3</v>
      </c>
      <c r="E1680" s="85" t="s">
        <v>25</v>
      </c>
      <c r="F1680" s="85"/>
      <c r="G1680" s="85"/>
      <c r="H1680" s="86"/>
      <c r="I1680" s="87" t="s">
        <v>1911</v>
      </c>
      <c r="J1680" s="44"/>
    </row>
    <row r="1681" spans="1:10" x14ac:dyDescent="0.25">
      <c r="A1681" s="51"/>
      <c r="B1681" s="83"/>
      <c r="C1681" s="83"/>
      <c r="D1681" s="84" t="s">
        <v>764</v>
      </c>
      <c r="E1681" s="85">
        <f>398.48</f>
        <v>398.48</v>
      </c>
      <c r="F1681" s="85"/>
      <c r="G1681" s="85"/>
      <c r="H1681" s="85"/>
      <c r="I1681" s="88">
        <v>398.48</v>
      </c>
      <c r="J1681" s="44" t="s">
        <v>27</v>
      </c>
    </row>
    <row r="1682" spans="1:10" ht="39.6" x14ac:dyDescent="0.25">
      <c r="A1682" s="39" t="s">
        <v>1572</v>
      </c>
      <c r="B1682" s="16" t="s">
        <v>1573</v>
      </c>
      <c r="C1682" s="16" t="s">
        <v>21</v>
      </c>
      <c r="D1682" s="17" t="s">
        <v>1574</v>
      </c>
      <c r="E1682" s="16" t="s">
        <v>52</v>
      </c>
      <c r="F1682" s="27">
        <v>548.52</v>
      </c>
      <c r="G1682" s="67">
        <v>17.850000000000001</v>
      </c>
      <c r="H1682" s="67">
        <v>21.52</v>
      </c>
      <c r="I1682" s="18">
        <v>11804.15</v>
      </c>
      <c r="J1682" s="40">
        <v>6.7440277953527438E-4</v>
      </c>
    </row>
    <row r="1683" spans="1:10" x14ac:dyDescent="0.25">
      <c r="A1683" s="43" t="s">
        <v>24</v>
      </c>
      <c r="B1683" s="83"/>
      <c r="C1683" s="83"/>
      <c r="D1683" s="84" t="s">
        <v>3</v>
      </c>
      <c r="E1683" s="85" t="s">
        <v>25</v>
      </c>
      <c r="F1683" s="85"/>
      <c r="G1683" s="85"/>
      <c r="H1683" s="86"/>
      <c r="I1683" s="87" t="s">
        <v>1911</v>
      </c>
      <c r="J1683" s="44"/>
    </row>
    <row r="1684" spans="1:10" x14ac:dyDescent="0.25">
      <c r="A1684" s="51"/>
      <c r="B1684" s="83"/>
      <c r="C1684" s="83"/>
      <c r="D1684" s="84" t="s">
        <v>764</v>
      </c>
      <c r="E1684" s="85">
        <f>548.52</f>
        <v>548.52</v>
      </c>
      <c r="F1684" s="85"/>
      <c r="G1684" s="85"/>
      <c r="H1684" s="85"/>
      <c r="I1684" s="88">
        <v>548.52</v>
      </c>
      <c r="J1684" s="44" t="s">
        <v>27</v>
      </c>
    </row>
    <row r="1685" spans="1:10" ht="39.6" x14ac:dyDescent="0.25">
      <c r="A1685" s="39" t="s">
        <v>1575</v>
      </c>
      <c r="B1685" s="16" t="s">
        <v>1576</v>
      </c>
      <c r="C1685" s="16" t="s">
        <v>21</v>
      </c>
      <c r="D1685" s="17" t="s">
        <v>1577</v>
      </c>
      <c r="E1685" s="16" t="s">
        <v>52</v>
      </c>
      <c r="F1685" s="27">
        <v>556.33000000000004</v>
      </c>
      <c r="G1685" s="67">
        <v>13.83</v>
      </c>
      <c r="H1685" s="67">
        <v>16.670000000000002</v>
      </c>
      <c r="I1685" s="18">
        <v>9274.02</v>
      </c>
      <c r="J1685" s="40">
        <v>5.2984966011663062E-4</v>
      </c>
    </row>
    <row r="1686" spans="1:10" x14ac:dyDescent="0.25">
      <c r="A1686" s="43" t="s">
        <v>24</v>
      </c>
      <c r="B1686" s="83"/>
      <c r="C1686" s="83"/>
      <c r="D1686" s="84" t="s">
        <v>3</v>
      </c>
      <c r="E1686" s="85" t="s">
        <v>25</v>
      </c>
      <c r="F1686" s="85"/>
      <c r="G1686" s="85"/>
      <c r="H1686" s="86"/>
      <c r="I1686" s="87" t="s">
        <v>1911</v>
      </c>
      <c r="J1686" s="44"/>
    </row>
    <row r="1687" spans="1:10" x14ac:dyDescent="0.25">
      <c r="A1687" s="51"/>
      <c r="B1687" s="83"/>
      <c r="C1687" s="83"/>
      <c r="D1687" s="84" t="s">
        <v>764</v>
      </c>
      <c r="E1687" s="85">
        <f>556.33</f>
        <v>556.33000000000004</v>
      </c>
      <c r="F1687" s="85"/>
      <c r="G1687" s="85"/>
      <c r="H1687" s="85"/>
      <c r="I1687" s="88">
        <v>556.33000000000004</v>
      </c>
      <c r="J1687" s="44" t="s">
        <v>27</v>
      </c>
    </row>
    <row r="1688" spans="1:10" ht="39.6" x14ac:dyDescent="0.25">
      <c r="A1688" s="39" t="s">
        <v>1578</v>
      </c>
      <c r="B1688" s="16" t="s">
        <v>1579</v>
      </c>
      <c r="C1688" s="16" t="s">
        <v>21</v>
      </c>
      <c r="D1688" s="17" t="s">
        <v>1580</v>
      </c>
      <c r="E1688" s="16" t="s">
        <v>52</v>
      </c>
      <c r="F1688" s="27">
        <v>2019.69</v>
      </c>
      <c r="G1688" s="67">
        <v>12.09</v>
      </c>
      <c r="H1688" s="67">
        <v>14.58</v>
      </c>
      <c r="I1688" s="18">
        <v>29447.08</v>
      </c>
      <c r="J1688" s="40">
        <v>1.6823907355631355E-3</v>
      </c>
    </row>
    <row r="1689" spans="1:10" x14ac:dyDescent="0.25">
      <c r="A1689" s="43" t="s">
        <v>24</v>
      </c>
      <c r="B1689" s="83"/>
      <c r="C1689" s="83"/>
      <c r="D1689" s="84" t="s">
        <v>3</v>
      </c>
      <c r="E1689" s="85" t="s">
        <v>25</v>
      </c>
      <c r="F1689" s="85"/>
      <c r="G1689" s="85"/>
      <c r="H1689" s="86"/>
      <c r="I1689" s="87" t="s">
        <v>1911</v>
      </c>
      <c r="J1689" s="44"/>
    </row>
    <row r="1690" spans="1:10" x14ac:dyDescent="0.25">
      <c r="A1690" s="51"/>
      <c r="B1690" s="83"/>
      <c r="C1690" s="83"/>
      <c r="D1690" s="84" t="s">
        <v>764</v>
      </c>
      <c r="E1690" s="85">
        <f>2019.69</f>
        <v>2019.69</v>
      </c>
      <c r="F1690" s="85"/>
      <c r="G1690" s="85"/>
      <c r="H1690" s="85"/>
      <c r="I1690" s="88">
        <v>2019.69</v>
      </c>
      <c r="J1690" s="44" t="s">
        <v>27</v>
      </c>
    </row>
    <row r="1691" spans="1:10" ht="39.6" x14ac:dyDescent="0.25">
      <c r="A1691" s="39" t="s">
        <v>1581</v>
      </c>
      <c r="B1691" s="16" t="s">
        <v>1582</v>
      </c>
      <c r="C1691" s="16" t="s">
        <v>21</v>
      </c>
      <c r="D1691" s="17" t="s">
        <v>1583</v>
      </c>
      <c r="E1691" s="16" t="s">
        <v>588</v>
      </c>
      <c r="F1691" s="27">
        <v>20</v>
      </c>
      <c r="G1691" s="67">
        <v>55.85</v>
      </c>
      <c r="H1691" s="67">
        <v>67.349999999999994</v>
      </c>
      <c r="I1691" s="18">
        <v>1347</v>
      </c>
      <c r="J1691" s="40">
        <v>7.6957726226286059E-5</v>
      </c>
    </row>
    <row r="1692" spans="1:10" x14ac:dyDescent="0.25">
      <c r="A1692" s="43" t="s">
        <v>24</v>
      </c>
      <c r="B1692" s="83"/>
      <c r="C1692" s="83"/>
      <c r="D1692" s="84" t="s">
        <v>3</v>
      </c>
      <c r="E1692" s="85" t="s">
        <v>25</v>
      </c>
      <c r="F1692" s="85"/>
      <c r="G1692" s="85"/>
      <c r="H1692" s="86"/>
      <c r="I1692" s="87" t="s">
        <v>1911</v>
      </c>
      <c r="J1692" s="44"/>
    </row>
    <row r="1693" spans="1:10" x14ac:dyDescent="0.25">
      <c r="A1693" s="51"/>
      <c r="B1693" s="83"/>
      <c r="C1693" s="83"/>
      <c r="D1693" s="84" t="s">
        <v>764</v>
      </c>
      <c r="E1693" s="85">
        <f>20</f>
        <v>20</v>
      </c>
      <c r="F1693" s="85"/>
      <c r="G1693" s="85"/>
      <c r="H1693" s="85"/>
      <c r="I1693" s="88">
        <v>20</v>
      </c>
      <c r="J1693" s="44" t="s">
        <v>27</v>
      </c>
    </row>
    <row r="1694" spans="1:10" ht="39.6" x14ac:dyDescent="0.25">
      <c r="A1694" s="39" t="s">
        <v>1584</v>
      </c>
      <c r="B1694" s="16" t="s">
        <v>1585</v>
      </c>
      <c r="C1694" s="16" t="s">
        <v>21</v>
      </c>
      <c r="D1694" s="17" t="s">
        <v>1586</v>
      </c>
      <c r="E1694" s="16" t="s">
        <v>588</v>
      </c>
      <c r="F1694" s="27">
        <v>15</v>
      </c>
      <c r="G1694" s="67">
        <v>24.13</v>
      </c>
      <c r="H1694" s="67">
        <v>29.1</v>
      </c>
      <c r="I1694" s="18">
        <v>436.5</v>
      </c>
      <c r="J1694" s="40">
        <v>2.493841685061163E-5</v>
      </c>
    </row>
    <row r="1695" spans="1:10" x14ac:dyDescent="0.25">
      <c r="A1695" s="43" t="s">
        <v>24</v>
      </c>
      <c r="B1695" s="83"/>
      <c r="C1695" s="83"/>
      <c r="D1695" s="84" t="s">
        <v>3</v>
      </c>
      <c r="E1695" s="85" t="s">
        <v>25</v>
      </c>
      <c r="F1695" s="85"/>
      <c r="G1695" s="85"/>
      <c r="H1695" s="86"/>
      <c r="I1695" s="87" t="s">
        <v>1911</v>
      </c>
      <c r="J1695" s="44"/>
    </row>
    <row r="1696" spans="1:10" x14ac:dyDescent="0.25">
      <c r="A1696" s="51"/>
      <c r="B1696" s="83"/>
      <c r="C1696" s="83"/>
      <c r="D1696" s="84" t="s">
        <v>764</v>
      </c>
      <c r="E1696" s="85">
        <f>15</f>
        <v>15</v>
      </c>
      <c r="F1696" s="85"/>
      <c r="G1696" s="85"/>
      <c r="H1696" s="85"/>
      <c r="I1696" s="88">
        <v>15</v>
      </c>
      <c r="J1696" s="44" t="s">
        <v>27</v>
      </c>
    </row>
    <row r="1697" spans="1:10" ht="39.6" x14ac:dyDescent="0.25">
      <c r="A1697" s="39" t="s">
        <v>1587</v>
      </c>
      <c r="B1697" s="16" t="s">
        <v>1588</v>
      </c>
      <c r="C1697" s="16" t="s">
        <v>21</v>
      </c>
      <c r="D1697" s="17" t="s">
        <v>1589</v>
      </c>
      <c r="E1697" s="16" t="s">
        <v>588</v>
      </c>
      <c r="F1697" s="27">
        <v>32</v>
      </c>
      <c r="G1697" s="67">
        <v>24.06</v>
      </c>
      <c r="H1697" s="67">
        <v>29.01</v>
      </c>
      <c r="I1697" s="18">
        <v>928.32</v>
      </c>
      <c r="J1697" s="40">
        <v>5.3037413816173623E-5</v>
      </c>
    </row>
    <row r="1698" spans="1:10" x14ac:dyDescent="0.25">
      <c r="A1698" s="43" t="s">
        <v>24</v>
      </c>
      <c r="B1698" s="83"/>
      <c r="C1698" s="83"/>
      <c r="D1698" s="84" t="s">
        <v>3</v>
      </c>
      <c r="E1698" s="85" t="s">
        <v>25</v>
      </c>
      <c r="F1698" s="85"/>
      <c r="G1698" s="85"/>
      <c r="H1698" s="86"/>
      <c r="I1698" s="87" t="s">
        <v>1911</v>
      </c>
      <c r="J1698" s="44"/>
    </row>
    <row r="1699" spans="1:10" x14ac:dyDescent="0.25">
      <c r="A1699" s="51"/>
      <c r="B1699" s="83"/>
      <c r="C1699" s="83"/>
      <c r="D1699" s="84" t="s">
        <v>764</v>
      </c>
      <c r="E1699" s="85">
        <f>32</f>
        <v>32</v>
      </c>
      <c r="F1699" s="85"/>
      <c r="G1699" s="85"/>
      <c r="H1699" s="85"/>
      <c r="I1699" s="88">
        <v>32</v>
      </c>
      <c r="J1699" s="44" t="s">
        <v>27</v>
      </c>
    </row>
    <row r="1700" spans="1:10" ht="39.6" x14ac:dyDescent="0.25">
      <c r="A1700" s="39" t="s">
        <v>1590</v>
      </c>
      <c r="B1700" s="16" t="s">
        <v>1591</v>
      </c>
      <c r="C1700" s="16" t="s">
        <v>21</v>
      </c>
      <c r="D1700" s="17" t="s">
        <v>1592</v>
      </c>
      <c r="E1700" s="16" t="s">
        <v>588</v>
      </c>
      <c r="F1700" s="27">
        <v>35</v>
      </c>
      <c r="G1700" s="67">
        <v>21.54</v>
      </c>
      <c r="H1700" s="67">
        <v>25.97</v>
      </c>
      <c r="I1700" s="18">
        <v>908.95</v>
      </c>
      <c r="J1700" s="40">
        <v>5.1930753714463779E-5</v>
      </c>
    </row>
    <row r="1701" spans="1:10" x14ac:dyDescent="0.25">
      <c r="A1701" s="43" t="s">
        <v>24</v>
      </c>
      <c r="B1701" s="83"/>
      <c r="C1701" s="83"/>
      <c r="D1701" s="84" t="s">
        <v>3</v>
      </c>
      <c r="E1701" s="85" t="s">
        <v>25</v>
      </c>
      <c r="F1701" s="85"/>
      <c r="G1701" s="85"/>
      <c r="H1701" s="86"/>
      <c r="I1701" s="87" t="s">
        <v>1911</v>
      </c>
      <c r="J1701" s="44"/>
    </row>
    <row r="1702" spans="1:10" x14ac:dyDescent="0.25">
      <c r="A1702" s="51"/>
      <c r="B1702" s="83"/>
      <c r="C1702" s="83"/>
      <c r="D1702" s="84" t="s">
        <v>764</v>
      </c>
      <c r="E1702" s="85">
        <f>35</f>
        <v>35</v>
      </c>
      <c r="F1702" s="85"/>
      <c r="G1702" s="85"/>
      <c r="H1702" s="85"/>
      <c r="I1702" s="88">
        <v>35</v>
      </c>
      <c r="J1702" s="44" t="s">
        <v>27</v>
      </c>
    </row>
    <row r="1703" spans="1:10" ht="39.6" x14ac:dyDescent="0.25">
      <c r="A1703" s="39" t="s">
        <v>1593</v>
      </c>
      <c r="B1703" s="16" t="s">
        <v>1594</v>
      </c>
      <c r="C1703" s="16" t="s">
        <v>21</v>
      </c>
      <c r="D1703" s="17" t="s">
        <v>1595</v>
      </c>
      <c r="E1703" s="16" t="s">
        <v>588</v>
      </c>
      <c r="F1703" s="27">
        <v>40</v>
      </c>
      <c r="G1703" s="67">
        <v>17.940000000000001</v>
      </c>
      <c r="H1703" s="67">
        <v>21.63</v>
      </c>
      <c r="I1703" s="18">
        <v>865.2</v>
      </c>
      <c r="J1703" s="40">
        <v>4.9431198760937418E-5</v>
      </c>
    </row>
    <row r="1704" spans="1:10" x14ac:dyDescent="0.25">
      <c r="A1704" s="43" t="s">
        <v>24</v>
      </c>
      <c r="B1704" s="83"/>
      <c r="C1704" s="83"/>
      <c r="D1704" s="84" t="s">
        <v>3</v>
      </c>
      <c r="E1704" s="85" t="s">
        <v>25</v>
      </c>
      <c r="F1704" s="85"/>
      <c r="G1704" s="85"/>
      <c r="H1704" s="86"/>
      <c r="I1704" s="87" t="s">
        <v>1911</v>
      </c>
      <c r="J1704" s="44"/>
    </row>
    <row r="1705" spans="1:10" x14ac:dyDescent="0.25">
      <c r="A1705" s="51"/>
      <c r="B1705" s="83"/>
      <c r="C1705" s="83"/>
      <c r="D1705" s="84" t="s">
        <v>764</v>
      </c>
      <c r="E1705" s="85">
        <f>40</f>
        <v>40</v>
      </c>
      <c r="F1705" s="85"/>
      <c r="G1705" s="85"/>
      <c r="H1705" s="85"/>
      <c r="I1705" s="88">
        <v>40</v>
      </c>
      <c r="J1705" s="44" t="s">
        <v>27</v>
      </c>
    </row>
    <row r="1706" spans="1:10" ht="39.6" x14ac:dyDescent="0.25">
      <c r="A1706" s="39" t="s">
        <v>1596</v>
      </c>
      <c r="B1706" s="16" t="s">
        <v>1597</v>
      </c>
      <c r="C1706" s="16" t="s">
        <v>21</v>
      </c>
      <c r="D1706" s="17" t="s">
        <v>1598</v>
      </c>
      <c r="E1706" s="16" t="s">
        <v>588</v>
      </c>
      <c r="F1706" s="27">
        <v>42</v>
      </c>
      <c r="G1706" s="67">
        <v>16.8</v>
      </c>
      <c r="H1706" s="67">
        <v>20.260000000000002</v>
      </c>
      <c r="I1706" s="18">
        <v>850.92</v>
      </c>
      <c r="J1706" s="40">
        <v>4.8615344024106411E-5</v>
      </c>
    </row>
    <row r="1707" spans="1:10" x14ac:dyDescent="0.25">
      <c r="A1707" s="43" t="s">
        <v>24</v>
      </c>
      <c r="B1707" s="83"/>
      <c r="C1707" s="83"/>
      <c r="D1707" s="84" t="s">
        <v>3</v>
      </c>
      <c r="E1707" s="85" t="s">
        <v>25</v>
      </c>
      <c r="F1707" s="85"/>
      <c r="G1707" s="85"/>
      <c r="H1707" s="86"/>
      <c r="I1707" s="87" t="s">
        <v>1911</v>
      </c>
      <c r="J1707" s="44"/>
    </row>
    <row r="1708" spans="1:10" x14ac:dyDescent="0.25">
      <c r="A1708" s="51"/>
      <c r="B1708" s="83"/>
      <c r="C1708" s="83"/>
      <c r="D1708" s="84" t="s">
        <v>764</v>
      </c>
      <c r="E1708" s="85">
        <f>42</f>
        <v>42</v>
      </c>
      <c r="F1708" s="85"/>
      <c r="G1708" s="85"/>
      <c r="H1708" s="85"/>
      <c r="I1708" s="88">
        <v>42</v>
      </c>
      <c r="J1708" s="44" t="s">
        <v>27</v>
      </c>
    </row>
    <row r="1709" spans="1:10" ht="39.6" x14ac:dyDescent="0.25">
      <c r="A1709" s="39" t="s">
        <v>1599</v>
      </c>
      <c r="B1709" s="16" t="s">
        <v>1600</v>
      </c>
      <c r="C1709" s="16" t="s">
        <v>21</v>
      </c>
      <c r="D1709" s="17" t="s">
        <v>1601</v>
      </c>
      <c r="E1709" s="16" t="s">
        <v>588</v>
      </c>
      <c r="F1709" s="27">
        <v>38</v>
      </c>
      <c r="G1709" s="67">
        <v>153.74</v>
      </c>
      <c r="H1709" s="67">
        <v>185.41</v>
      </c>
      <c r="I1709" s="18">
        <v>7045.58</v>
      </c>
      <c r="J1709" s="40">
        <v>4.0253290033065816E-4</v>
      </c>
    </row>
    <row r="1710" spans="1:10" x14ac:dyDescent="0.25">
      <c r="A1710" s="43" t="s">
        <v>24</v>
      </c>
      <c r="B1710" s="83"/>
      <c r="C1710" s="83"/>
      <c r="D1710" s="84" t="s">
        <v>3</v>
      </c>
      <c r="E1710" s="85" t="s">
        <v>25</v>
      </c>
      <c r="F1710" s="85"/>
      <c r="G1710" s="85"/>
      <c r="H1710" s="86"/>
      <c r="I1710" s="87" t="s">
        <v>1911</v>
      </c>
      <c r="J1710" s="44"/>
    </row>
    <row r="1711" spans="1:10" x14ac:dyDescent="0.25">
      <c r="A1711" s="51"/>
      <c r="B1711" s="83"/>
      <c r="C1711" s="83"/>
      <c r="D1711" s="84" t="s">
        <v>764</v>
      </c>
      <c r="E1711" s="85">
        <f>38</f>
        <v>38</v>
      </c>
      <c r="F1711" s="85"/>
      <c r="G1711" s="85"/>
      <c r="H1711" s="85"/>
      <c r="I1711" s="88">
        <v>38</v>
      </c>
      <c r="J1711" s="44" t="s">
        <v>27</v>
      </c>
    </row>
    <row r="1712" spans="1:10" ht="39.6" x14ac:dyDescent="0.25">
      <c r="A1712" s="39" t="s">
        <v>1602</v>
      </c>
      <c r="B1712" s="16" t="s">
        <v>1603</v>
      </c>
      <c r="C1712" s="16" t="s">
        <v>21</v>
      </c>
      <c r="D1712" s="17" t="s">
        <v>1604</v>
      </c>
      <c r="E1712" s="16" t="s">
        <v>52</v>
      </c>
      <c r="F1712" s="27">
        <v>168.61</v>
      </c>
      <c r="G1712" s="67">
        <v>17.34</v>
      </c>
      <c r="H1712" s="67">
        <v>20.91</v>
      </c>
      <c r="I1712" s="18">
        <v>3525.63</v>
      </c>
      <c r="J1712" s="40">
        <v>2.0142870698974084E-4</v>
      </c>
    </row>
    <row r="1713" spans="1:10" x14ac:dyDescent="0.25">
      <c r="A1713" s="43" t="s">
        <v>24</v>
      </c>
      <c r="B1713" s="83"/>
      <c r="C1713" s="83"/>
      <c r="D1713" s="84" t="s">
        <v>3</v>
      </c>
      <c r="E1713" s="85" t="s">
        <v>25</v>
      </c>
      <c r="F1713" s="85"/>
      <c r="G1713" s="85"/>
      <c r="H1713" s="86"/>
      <c r="I1713" s="87" t="s">
        <v>1911</v>
      </c>
      <c r="J1713" s="44"/>
    </row>
    <row r="1714" spans="1:10" x14ac:dyDescent="0.25">
      <c r="A1714" s="51"/>
      <c r="B1714" s="83"/>
      <c r="C1714" s="83"/>
      <c r="D1714" s="84" t="s">
        <v>764</v>
      </c>
      <c r="E1714" s="85">
        <f>168.61</f>
        <v>168.61</v>
      </c>
      <c r="F1714" s="85"/>
      <c r="G1714" s="85"/>
      <c r="H1714" s="85"/>
      <c r="I1714" s="88">
        <v>168.61</v>
      </c>
      <c r="J1714" s="44" t="s">
        <v>27</v>
      </c>
    </row>
    <row r="1715" spans="1:10" ht="39.6" x14ac:dyDescent="0.25">
      <c r="A1715" s="39" t="s">
        <v>1605</v>
      </c>
      <c r="B1715" s="16" t="s">
        <v>1606</v>
      </c>
      <c r="C1715" s="16" t="s">
        <v>21</v>
      </c>
      <c r="D1715" s="17" t="s">
        <v>1607</v>
      </c>
      <c r="E1715" s="16" t="s">
        <v>52</v>
      </c>
      <c r="F1715" s="27">
        <v>318.68</v>
      </c>
      <c r="G1715" s="67">
        <v>9.1</v>
      </c>
      <c r="H1715" s="67">
        <v>10.97</v>
      </c>
      <c r="I1715" s="18">
        <v>3495.91</v>
      </c>
      <c r="J1715" s="40">
        <v>1.9973072360188247E-4</v>
      </c>
    </row>
    <row r="1716" spans="1:10" x14ac:dyDescent="0.25">
      <c r="A1716" s="43" t="s">
        <v>24</v>
      </c>
      <c r="B1716" s="83"/>
      <c r="C1716" s="83"/>
      <c r="D1716" s="84" t="s">
        <v>3</v>
      </c>
      <c r="E1716" s="85" t="s">
        <v>25</v>
      </c>
      <c r="F1716" s="85"/>
      <c r="G1716" s="85"/>
      <c r="H1716" s="86"/>
      <c r="I1716" s="87" t="s">
        <v>1911</v>
      </c>
      <c r="J1716" s="44"/>
    </row>
    <row r="1717" spans="1:10" x14ac:dyDescent="0.25">
      <c r="A1717" s="51"/>
      <c r="B1717" s="83"/>
      <c r="C1717" s="83"/>
      <c r="D1717" s="84" t="s">
        <v>764</v>
      </c>
      <c r="E1717" s="85">
        <f>318.68</f>
        <v>318.68</v>
      </c>
      <c r="F1717" s="85"/>
      <c r="G1717" s="85"/>
      <c r="H1717" s="85"/>
      <c r="I1717" s="88">
        <v>318.68</v>
      </c>
      <c r="J1717" s="44" t="s">
        <v>27</v>
      </c>
    </row>
    <row r="1718" spans="1:10" ht="39.6" x14ac:dyDescent="0.25">
      <c r="A1718" s="39" t="s">
        <v>1608</v>
      </c>
      <c r="B1718" s="16" t="s">
        <v>1609</v>
      </c>
      <c r="C1718" s="16" t="s">
        <v>21</v>
      </c>
      <c r="D1718" s="17" t="s">
        <v>1610</v>
      </c>
      <c r="E1718" s="16" t="s">
        <v>52</v>
      </c>
      <c r="F1718" s="27">
        <v>1398.76</v>
      </c>
      <c r="G1718" s="67">
        <v>10.7</v>
      </c>
      <c r="H1718" s="67">
        <v>12.9</v>
      </c>
      <c r="I1718" s="18">
        <v>18044</v>
      </c>
      <c r="J1718" s="40">
        <v>1.0309021618612514E-3</v>
      </c>
    </row>
    <row r="1719" spans="1:10" x14ac:dyDescent="0.25">
      <c r="A1719" s="43" t="s">
        <v>24</v>
      </c>
      <c r="B1719" s="83"/>
      <c r="C1719" s="83"/>
      <c r="D1719" s="84" t="s">
        <v>3</v>
      </c>
      <c r="E1719" s="85" t="s">
        <v>25</v>
      </c>
      <c r="F1719" s="85"/>
      <c r="G1719" s="85"/>
      <c r="H1719" s="86"/>
      <c r="I1719" s="87" t="s">
        <v>1911</v>
      </c>
      <c r="J1719" s="44"/>
    </row>
    <row r="1720" spans="1:10" x14ac:dyDescent="0.25">
      <c r="A1720" s="51"/>
      <c r="B1720" s="83"/>
      <c r="C1720" s="83"/>
      <c r="D1720" s="84" t="s">
        <v>764</v>
      </c>
      <c r="E1720" s="85">
        <f>1398.76</f>
        <v>1398.76</v>
      </c>
      <c r="F1720" s="85"/>
      <c r="G1720" s="85"/>
      <c r="H1720" s="85"/>
      <c r="I1720" s="88">
        <v>1398.76</v>
      </c>
      <c r="J1720" s="44" t="s">
        <v>27</v>
      </c>
    </row>
    <row r="1721" spans="1:10" ht="26.4" x14ac:dyDescent="0.25">
      <c r="A1721" s="39" t="s">
        <v>1611</v>
      </c>
      <c r="B1721" s="16" t="s">
        <v>1612</v>
      </c>
      <c r="C1721" s="16" t="s">
        <v>21</v>
      </c>
      <c r="D1721" s="17" t="s">
        <v>1613</v>
      </c>
      <c r="E1721" s="16" t="s">
        <v>588</v>
      </c>
      <c r="F1721" s="27">
        <v>394</v>
      </c>
      <c r="G1721" s="67">
        <v>17.79</v>
      </c>
      <c r="H1721" s="67">
        <v>21.45</v>
      </c>
      <c r="I1721" s="18">
        <v>8451.2999999999993</v>
      </c>
      <c r="J1721" s="40">
        <v>4.8284545779971147E-4</v>
      </c>
    </row>
    <row r="1722" spans="1:10" x14ac:dyDescent="0.25">
      <c r="A1722" s="43" t="s">
        <v>24</v>
      </c>
      <c r="B1722" s="83"/>
      <c r="C1722" s="83"/>
      <c r="D1722" s="84" t="s">
        <v>3</v>
      </c>
      <c r="E1722" s="85" t="s">
        <v>25</v>
      </c>
      <c r="F1722" s="85"/>
      <c r="G1722" s="85"/>
      <c r="H1722" s="86"/>
      <c r="I1722" s="87" t="s">
        <v>1911</v>
      </c>
      <c r="J1722" s="44"/>
    </row>
    <row r="1723" spans="1:10" x14ac:dyDescent="0.25">
      <c r="A1723" s="51"/>
      <c r="B1723" s="83"/>
      <c r="C1723" s="83"/>
      <c r="D1723" s="84" t="s">
        <v>764</v>
      </c>
      <c r="E1723" s="85">
        <f>394</f>
        <v>394</v>
      </c>
      <c r="F1723" s="85"/>
      <c r="G1723" s="85"/>
      <c r="H1723" s="85"/>
      <c r="I1723" s="88">
        <v>394</v>
      </c>
      <c r="J1723" s="44" t="s">
        <v>27</v>
      </c>
    </row>
    <row r="1724" spans="1:10" ht="26.4" x14ac:dyDescent="0.25">
      <c r="A1724" s="39" t="s">
        <v>1614</v>
      </c>
      <c r="B1724" s="16" t="s">
        <v>1615</v>
      </c>
      <c r="C1724" s="16" t="s">
        <v>21</v>
      </c>
      <c r="D1724" s="17" t="s">
        <v>1616</v>
      </c>
      <c r="E1724" s="16" t="s">
        <v>588</v>
      </c>
      <c r="F1724" s="27">
        <v>30</v>
      </c>
      <c r="G1724" s="67">
        <v>21.83</v>
      </c>
      <c r="H1724" s="67">
        <v>26.32</v>
      </c>
      <c r="I1724" s="18">
        <v>789.6</v>
      </c>
      <c r="J1724" s="40">
        <v>4.5111967801243858E-5</v>
      </c>
    </row>
    <row r="1725" spans="1:10" x14ac:dyDescent="0.25">
      <c r="A1725" s="43" t="s">
        <v>24</v>
      </c>
      <c r="B1725" s="83"/>
      <c r="C1725" s="83"/>
      <c r="D1725" s="84" t="s">
        <v>3</v>
      </c>
      <c r="E1725" s="85" t="s">
        <v>25</v>
      </c>
      <c r="F1725" s="85"/>
      <c r="G1725" s="85"/>
      <c r="H1725" s="86"/>
      <c r="I1725" s="87" t="s">
        <v>1911</v>
      </c>
      <c r="J1725" s="44"/>
    </row>
    <row r="1726" spans="1:10" x14ac:dyDescent="0.25">
      <c r="A1726" s="51"/>
      <c r="B1726" s="83"/>
      <c r="C1726" s="83"/>
      <c r="D1726" s="84" t="s">
        <v>764</v>
      </c>
      <c r="E1726" s="85">
        <f>30</f>
        <v>30</v>
      </c>
      <c r="F1726" s="85"/>
      <c r="G1726" s="85"/>
      <c r="H1726" s="85"/>
      <c r="I1726" s="88">
        <v>30</v>
      </c>
      <c r="J1726" s="44" t="s">
        <v>27</v>
      </c>
    </row>
    <row r="1727" spans="1:10" x14ac:dyDescent="0.25">
      <c r="A1727" s="41" t="s">
        <v>1617</v>
      </c>
      <c r="B1727" s="13"/>
      <c r="C1727" s="13"/>
      <c r="D1727" s="14" t="s">
        <v>1618</v>
      </c>
      <c r="E1727" s="14"/>
      <c r="F1727" s="26">
        <v>1</v>
      </c>
      <c r="G1727" s="66"/>
      <c r="H1727" s="66"/>
      <c r="I1727" s="15">
        <v>220165.22</v>
      </c>
      <c r="J1727" s="42">
        <v>1.2578630085605077E-2</v>
      </c>
    </row>
    <row r="1728" spans="1:10" ht="52.8" x14ac:dyDescent="0.25">
      <c r="A1728" s="39" t="s">
        <v>1619</v>
      </c>
      <c r="B1728" s="16" t="s">
        <v>1620</v>
      </c>
      <c r="C1728" s="16" t="s">
        <v>14</v>
      </c>
      <c r="D1728" s="17" t="s">
        <v>1621</v>
      </c>
      <c r="E1728" s="16" t="s">
        <v>52</v>
      </c>
      <c r="F1728" s="27">
        <v>2247</v>
      </c>
      <c r="G1728" s="67">
        <v>7.35</v>
      </c>
      <c r="H1728" s="67">
        <v>8.86</v>
      </c>
      <c r="I1728" s="18">
        <v>19908.419999999998</v>
      </c>
      <c r="J1728" s="40">
        <v>1.1374214817801915E-3</v>
      </c>
    </row>
    <row r="1729" spans="1:10" x14ac:dyDescent="0.25">
      <c r="A1729" s="43" t="s">
        <v>24</v>
      </c>
      <c r="B1729" s="83"/>
      <c r="C1729" s="83"/>
      <c r="D1729" s="84" t="s">
        <v>3</v>
      </c>
      <c r="E1729" s="85" t="s">
        <v>25</v>
      </c>
      <c r="F1729" s="85"/>
      <c r="G1729" s="85"/>
      <c r="H1729" s="86"/>
      <c r="I1729" s="87" t="s">
        <v>1911</v>
      </c>
      <c r="J1729" s="44"/>
    </row>
    <row r="1730" spans="1:10" x14ac:dyDescent="0.25">
      <c r="A1730" s="51"/>
      <c r="B1730" s="83"/>
      <c r="C1730" s="83"/>
      <c r="D1730" s="84" t="s">
        <v>764</v>
      </c>
      <c r="E1730" s="85">
        <f>2247</f>
        <v>2247</v>
      </c>
      <c r="F1730" s="85"/>
      <c r="G1730" s="85"/>
      <c r="H1730" s="85"/>
      <c r="I1730" s="88">
        <v>2247</v>
      </c>
      <c r="J1730" s="44" t="s">
        <v>27</v>
      </c>
    </row>
    <row r="1731" spans="1:10" ht="52.8" x14ac:dyDescent="0.25">
      <c r="A1731" s="39" t="s">
        <v>1622</v>
      </c>
      <c r="B1731" s="16" t="s">
        <v>1623</v>
      </c>
      <c r="C1731" s="16" t="s">
        <v>14</v>
      </c>
      <c r="D1731" s="17" t="s">
        <v>1624</v>
      </c>
      <c r="E1731" s="16" t="s">
        <v>52</v>
      </c>
      <c r="F1731" s="27">
        <v>4990</v>
      </c>
      <c r="G1731" s="67">
        <v>10.33</v>
      </c>
      <c r="H1731" s="67">
        <v>12.45</v>
      </c>
      <c r="I1731" s="18">
        <v>62125.5</v>
      </c>
      <c r="J1731" s="40">
        <v>3.5493966003497658E-3</v>
      </c>
    </row>
    <row r="1732" spans="1:10" x14ac:dyDescent="0.25">
      <c r="A1732" s="43" t="s">
        <v>24</v>
      </c>
      <c r="B1732" s="83"/>
      <c r="C1732" s="83"/>
      <c r="D1732" s="84" t="s">
        <v>3</v>
      </c>
      <c r="E1732" s="85" t="s">
        <v>25</v>
      </c>
      <c r="F1732" s="85"/>
      <c r="G1732" s="85"/>
      <c r="H1732" s="86"/>
      <c r="I1732" s="87" t="s">
        <v>1911</v>
      </c>
      <c r="J1732" s="44"/>
    </row>
    <row r="1733" spans="1:10" x14ac:dyDescent="0.25">
      <c r="A1733" s="51"/>
      <c r="B1733" s="83"/>
      <c r="C1733" s="83"/>
      <c r="D1733" s="84" t="s">
        <v>764</v>
      </c>
      <c r="E1733" s="85">
        <f>4990</f>
        <v>4990</v>
      </c>
      <c r="F1733" s="85"/>
      <c r="G1733" s="85"/>
      <c r="H1733" s="85"/>
      <c r="I1733" s="88">
        <v>4990</v>
      </c>
      <c r="J1733" s="44" t="s">
        <v>27</v>
      </c>
    </row>
    <row r="1734" spans="1:10" ht="52.8" x14ac:dyDescent="0.25">
      <c r="A1734" s="39" t="s">
        <v>1625</v>
      </c>
      <c r="B1734" s="16" t="s">
        <v>1626</v>
      </c>
      <c r="C1734" s="16" t="s">
        <v>14</v>
      </c>
      <c r="D1734" s="17" t="s">
        <v>1627</v>
      </c>
      <c r="E1734" s="16" t="s">
        <v>52</v>
      </c>
      <c r="F1734" s="27">
        <v>242</v>
      </c>
      <c r="G1734" s="67">
        <v>15.61</v>
      </c>
      <c r="H1734" s="67">
        <v>18.82</v>
      </c>
      <c r="I1734" s="18">
        <v>4554.4399999999996</v>
      </c>
      <c r="J1734" s="40">
        <v>2.602073842865971E-4</v>
      </c>
    </row>
    <row r="1735" spans="1:10" x14ac:dyDescent="0.25">
      <c r="A1735" s="43" t="s">
        <v>24</v>
      </c>
      <c r="B1735" s="83"/>
      <c r="C1735" s="83"/>
      <c r="D1735" s="84" t="s">
        <v>3</v>
      </c>
      <c r="E1735" s="85" t="s">
        <v>25</v>
      </c>
      <c r="F1735" s="85"/>
      <c r="G1735" s="85"/>
      <c r="H1735" s="86"/>
      <c r="I1735" s="87" t="s">
        <v>1911</v>
      </c>
      <c r="J1735" s="44"/>
    </row>
    <row r="1736" spans="1:10" x14ac:dyDescent="0.25">
      <c r="A1736" s="51"/>
      <c r="B1736" s="83"/>
      <c r="C1736" s="83"/>
      <c r="D1736" s="84" t="s">
        <v>764</v>
      </c>
      <c r="E1736" s="85">
        <f>242</f>
        <v>242</v>
      </c>
      <c r="F1736" s="85"/>
      <c r="G1736" s="85"/>
      <c r="H1736" s="85"/>
      <c r="I1736" s="88">
        <v>242</v>
      </c>
      <c r="J1736" s="44" t="s">
        <v>27</v>
      </c>
    </row>
    <row r="1737" spans="1:10" ht="52.8" x14ac:dyDescent="0.25">
      <c r="A1737" s="39" t="s">
        <v>1628</v>
      </c>
      <c r="B1737" s="16" t="s">
        <v>1629</v>
      </c>
      <c r="C1737" s="16" t="s">
        <v>14</v>
      </c>
      <c r="D1737" s="17" t="s">
        <v>1630</v>
      </c>
      <c r="E1737" s="16" t="s">
        <v>52</v>
      </c>
      <c r="F1737" s="27">
        <v>2611</v>
      </c>
      <c r="G1737" s="67">
        <v>23.44</v>
      </c>
      <c r="H1737" s="67">
        <v>28.26</v>
      </c>
      <c r="I1737" s="18">
        <v>73786.86</v>
      </c>
      <c r="J1737" s="40">
        <v>4.2156414038435766E-3</v>
      </c>
    </row>
    <row r="1738" spans="1:10" x14ac:dyDescent="0.25">
      <c r="A1738" s="43" t="s">
        <v>24</v>
      </c>
      <c r="B1738" s="83"/>
      <c r="C1738" s="83"/>
      <c r="D1738" s="84" t="s">
        <v>3</v>
      </c>
      <c r="E1738" s="85" t="s">
        <v>25</v>
      </c>
      <c r="F1738" s="85"/>
      <c r="G1738" s="85"/>
      <c r="H1738" s="86"/>
      <c r="I1738" s="87" t="s">
        <v>1911</v>
      </c>
      <c r="J1738" s="44"/>
    </row>
    <row r="1739" spans="1:10" x14ac:dyDescent="0.25">
      <c r="A1739" s="51"/>
      <c r="B1739" s="83"/>
      <c r="C1739" s="83"/>
      <c r="D1739" s="84" t="s">
        <v>764</v>
      </c>
      <c r="E1739" s="85">
        <f>2611</f>
        <v>2611</v>
      </c>
      <c r="F1739" s="85"/>
      <c r="G1739" s="85"/>
      <c r="H1739" s="85"/>
      <c r="I1739" s="88">
        <v>2611</v>
      </c>
      <c r="J1739" s="44" t="s">
        <v>27</v>
      </c>
    </row>
    <row r="1740" spans="1:10" ht="52.8" x14ac:dyDescent="0.25">
      <c r="A1740" s="39" t="s">
        <v>1631</v>
      </c>
      <c r="B1740" s="16" t="s">
        <v>1632</v>
      </c>
      <c r="C1740" s="16" t="s">
        <v>14</v>
      </c>
      <c r="D1740" s="17" t="s">
        <v>1633</v>
      </c>
      <c r="E1740" s="16" t="s">
        <v>52</v>
      </c>
      <c r="F1740" s="27">
        <v>200</v>
      </c>
      <c r="G1740" s="67">
        <v>59.2</v>
      </c>
      <c r="H1740" s="67">
        <v>71.39</v>
      </c>
      <c r="I1740" s="18">
        <v>14278</v>
      </c>
      <c r="J1740" s="40">
        <v>8.1574047146170184E-4</v>
      </c>
    </row>
    <row r="1741" spans="1:10" x14ac:dyDescent="0.25">
      <c r="A1741" s="43" t="s">
        <v>24</v>
      </c>
      <c r="B1741" s="83"/>
      <c r="C1741" s="83"/>
      <c r="D1741" s="84" t="s">
        <v>3</v>
      </c>
      <c r="E1741" s="85" t="s">
        <v>25</v>
      </c>
      <c r="F1741" s="85"/>
      <c r="G1741" s="85"/>
      <c r="H1741" s="86"/>
      <c r="I1741" s="87" t="s">
        <v>1911</v>
      </c>
      <c r="J1741" s="44"/>
    </row>
    <row r="1742" spans="1:10" x14ac:dyDescent="0.25">
      <c r="A1742" s="51"/>
      <c r="B1742" s="83"/>
      <c r="C1742" s="83"/>
      <c r="D1742" s="84" t="s">
        <v>764</v>
      </c>
      <c r="E1742" s="85">
        <f>200</f>
        <v>200</v>
      </c>
      <c r="F1742" s="85"/>
      <c r="G1742" s="85"/>
      <c r="H1742" s="85"/>
      <c r="I1742" s="88">
        <v>200</v>
      </c>
      <c r="J1742" s="44" t="s">
        <v>27</v>
      </c>
    </row>
    <row r="1743" spans="1:10" ht="52.8" x14ac:dyDescent="0.25">
      <c r="A1743" s="39" t="s">
        <v>1634</v>
      </c>
      <c r="B1743" s="16" t="s">
        <v>1635</v>
      </c>
      <c r="C1743" s="16" t="s">
        <v>14</v>
      </c>
      <c r="D1743" s="17" t="s">
        <v>1636</v>
      </c>
      <c r="E1743" s="16" t="s">
        <v>52</v>
      </c>
      <c r="F1743" s="27">
        <v>400</v>
      </c>
      <c r="G1743" s="67">
        <v>94.35</v>
      </c>
      <c r="H1743" s="67">
        <v>113.78</v>
      </c>
      <c r="I1743" s="18">
        <v>45512</v>
      </c>
      <c r="J1743" s="40">
        <v>2.6002227438832451E-3</v>
      </c>
    </row>
    <row r="1744" spans="1:10" x14ac:dyDescent="0.25">
      <c r="A1744" s="43" t="s">
        <v>24</v>
      </c>
      <c r="B1744" s="83"/>
      <c r="C1744" s="83"/>
      <c r="D1744" s="84" t="s">
        <v>3</v>
      </c>
      <c r="E1744" s="85" t="s">
        <v>25</v>
      </c>
      <c r="F1744" s="85"/>
      <c r="G1744" s="85"/>
      <c r="H1744" s="86"/>
      <c r="I1744" s="87" t="s">
        <v>1911</v>
      </c>
      <c r="J1744" s="44"/>
    </row>
    <row r="1745" spans="1:10" x14ac:dyDescent="0.25">
      <c r="A1745" s="51"/>
      <c r="B1745" s="83"/>
      <c r="C1745" s="83"/>
      <c r="D1745" s="84" t="s">
        <v>764</v>
      </c>
      <c r="E1745" s="85">
        <f>400</f>
        <v>400</v>
      </c>
      <c r="F1745" s="85"/>
      <c r="G1745" s="85"/>
      <c r="H1745" s="85"/>
      <c r="I1745" s="88">
        <v>400</v>
      </c>
      <c r="J1745" s="44" t="s">
        <v>27</v>
      </c>
    </row>
    <row r="1746" spans="1:10" x14ac:dyDescent="0.25">
      <c r="A1746" s="41" t="s">
        <v>1637</v>
      </c>
      <c r="B1746" s="13"/>
      <c r="C1746" s="13"/>
      <c r="D1746" s="14" t="s">
        <v>1638</v>
      </c>
      <c r="E1746" s="14"/>
      <c r="F1746" s="26">
        <v>1</v>
      </c>
      <c r="G1746" s="66"/>
      <c r="H1746" s="66"/>
      <c r="I1746" s="15">
        <v>237263.39</v>
      </c>
      <c r="J1746" s="42">
        <v>1.3555494440341898E-2</v>
      </c>
    </row>
    <row r="1747" spans="1:10" ht="26.4" x14ac:dyDescent="0.25">
      <c r="A1747" s="39" t="s">
        <v>1639</v>
      </c>
      <c r="B1747" s="16" t="s">
        <v>1640</v>
      </c>
      <c r="C1747" s="16" t="s">
        <v>21</v>
      </c>
      <c r="D1747" s="17" t="s">
        <v>1641</v>
      </c>
      <c r="E1747" s="16" t="s">
        <v>588</v>
      </c>
      <c r="F1747" s="27">
        <v>74</v>
      </c>
      <c r="G1747" s="67">
        <v>44.86</v>
      </c>
      <c r="H1747" s="67">
        <v>54.1</v>
      </c>
      <c r="I1747" s="18">
        <v>4003.4</v>
      </c>
      <c r="J1747" s="40">
        <v>2.287249897359418E-4</v>
      </c>
    </row>
    <row r="1748" spans="1:10" x14ac:dyDescent="0.25">
      <c r="A1748" s="43" t="s">
        <v>24</v>
      </c>
      <c r="B1748" s="83"/>
      <c r="C1748" s="83"/>
      <c r="D1748" s="84" t="s">
        <v>3</v>
      </c>
      <c r="E1748" s="85" t="s">
        <v>25</v>
      </c>
      <c r="F1748" s="85"/>
      <c r="G1748" s="85"/>
      <c r="H1748" s="86"/>
      <c r="I1748" s="87" t="s">
        <v>1911</v>
      </c>
      <c r="J1748" s="44"/>
    </row>
    <row r="1749" spans="1:10" x14ac:dyDescent="0.25">
      <c r="A1749" s="51"/>
      <c r="B1749" s="83"/>
      <c r="C1749" s="83"/>
      <c r="D1749" s="84" t="s">
        <v>764</v>
      </c>
      <c r="E1749" s="85">
        <f>74</f>
        <v>74</v>
      </c>
      <c r="F1749" s="85"/>
      <c r="G1749" s="85"/>
      <c r="H1749" s="85"/>
      <c r="I1749" s="88">
        <v>74</v>
      </c>
      <c r="J1749" s="44" t="s">
        <v>27</v>
      </c>
    </row>
    <row r="1750" spans="1:10" ht="26.4" x14ac:dyDescent="0.25">
      <c r="A1750" s="39" t="s">
        <v>1642</v>
      </c>
      <c r="B1750" s="16" t="s">
        <v>1643</v>
      </c>
      <c r="C1750" s="16" t="s">
        <v>21</v>
      </c>
      <c r="D1750" s="17" t="s">
        <v>1644</v>
      </c>
      <c r="E1750" s="16" t="s">
        <v>588</v>
      </c>
      <c r="F1750" s="27">
        <v>32</v>
      </c>
      <c r="G1750" s="67">
        <v>35.65</v>
      </c>
      <c r="H1750" s="67">
        <v>42.99</v>
      </c>
      <c r="I1750" s="18">
        <v>1375.68</v>
      </c>
      <c r="J1750" s="40">
        <v>7.859629162210631E-5</v>
      </c>
    </row>
    <row r="1751" spans="1:10" x14ac:dyDescent="0.25">
      <c r="A1751" s="43" t="s">
        <v>24</v>
      </c>
      <c r="B1751" s="83"/>
      <c r="C1751" s="83"/>
      <c r="D1751" s="84" t="s">
        <v>3</v>
      </c>
      <c r="E1751" s="85" t="s">
        <v>25</v>
      </c>
      <c r="F1751" s="85"/>
      <c r="G1751" s="85"/>
      <c r="H1751" s="86"/>
      <c r="I1751" s="87" t="s">
        <v>1911</v>
      </c>
      <c r="J1751" s="44"/>
    </row>
    <row r="1752" spans="1:10" x14ac:dyDescent="0.25">
      <c r="A1752" s="51"/>
      <c r="B1752" s="83"/>
      <c r="C1752" s="83"/>
      <c r="D1752" s="84" t="s">
        <v>764</v>
      </c>
      <c r="E1752" s="85">
        <f>32</f>
        <v>32</v>
      </c>
      <c r="F1752" s="85"/>
      <c r="G1752" s="85"/>
      <c r="H1752" s="85"/>
      <c r="I1752" s="88">
        <v>32</v>
      </c>
      <c r="J1752" s="44" t="s">
        <v>27</v>
      </c>
    </row>
    <row r="1753" spans="1:10" ht="26.4" x14ac:dyDescent="0.25">
      <c r="A1753" s="39" t="s">
        <v>1645</v>
      </c>
      <c r="B1753" s="16" t="s">
        <v>1646</v>
      </c>
      <c r="C1753" s="16" t="s">
        <v>21</v>
      </c>
      <c r="D1753" s="17" t="s">
        <v>1647</v>
      </c>
      <c r="E1753" s="16" t="s">
        <v>588</v>
      </c>
      <c r="F1753" s="27">
        <v>33</v>
      </c>
      <c r="G1753" s="67">
        <v>29.89</v>
      </c>
      <c r="H1753" s="67">
        <v>36.04</v>
      </c>
      <c r="I1753" s="18">
        <v>1189.32</v>
      </c>
      <c r="J1753" s="40">
        <v>6.7949044510353773E-5</v>
      </c>
    </row>
    <row r="1754" spans="1:10" x14ac:dyDescent="0.25">
      <c r="A1754" s="43" t="s">
        <v>24</v>
      </c>
      <c r="B1754" s="83"/>
      <c r="C1754" s="83"/>
      <c r="D1754" s="84" t="s">
        <v>3</v>
      </c>
      <c r="E1754" s="85" t="s">
        <v>25</v>
      </c>
      <c r="F1754" s="85"/>
      <c r="G1754" s="85"/>
      <c r="H1754" s="86"/>
      <c r="I1754" s="87" t="s">
        <v>1911</v>
      </c>
      <c r="J1754" s="44"/>
    </row>
    <row r="1755" spans="1:10" x14ac:dyDescent="0.25">
      <c r="A1755" s="51"/>
      <c r="B1755" s="83"/>
      <c r="C1755" s="83"/>
      <c r="D1755" s="84" t="s">
        <v>764</v>
      </c>
      <c r="E1755" s="85">
        <f>33</f>
        <v>33</v>
      </c>
      <c r="F1755" s="85"/>
      <c r="G1755" s="85"/>
      <c r="H1755" s="85"/>
      <c r="I1755" s="88">
        <v>33</v>
      </c>
      <c r="J1755" s="44" t="s">
        <v>27</v>
      </c>
    </row>
    <row r="1756" spans="1:10" ht="26.4" x14ac:dyDescent="0.25">
      <c r="A1756" s="39" t="s">
        <v>1648</v>
      </c>
      <c r="B1756" s="16" t="s">
        <v>1649</v>
      </c>
      <c r="C1756" s="16" t="s">
        <v>21</v>
      </c>
      <c r="D1756" s="17" t="s">
        <v>1650</v>
      </c>
      <c r="E1756" s="16" t="s">
        <v>588</v>
      </c>
      <c r="F1756" s="27">
        <v>230</v>
      </c>
      <c r="G1756" s="67">
        <v>33.450000000000003</v>
      </c>
      <c r="H1756" s="67">
        <v>40.340000000000003</v>
      </c>
      <c r="I1756" s="18">
        <v>9278.2000000000007</v>
      </c>
      <c r="J1756" s="40">
        <v>5.3008847473847613E-4</v>
      </c>
    </row>
    <row r="1757" spans="1:10" x14ac:dyDescent="0.25">
      <c r="A1757" s="43" t="s">
        <v>24</v>
      </c>
      <c r="B1757" s="83"/>
      <c r="C1757" s="83"/>
      <c r="D1757" s="84" t="s">
        <v>3</v>
      </c>
      <c r="E1757" s="85" t="s">
        <v>25</v>
      </c>
      <c r="F1757" s="85"/>
      <c r="G1757" s="85"/>
      <c r="H1757" s="86"/>
      <c r="I1757" s="87" t="s">
        <v>1911</v>
      </c>
      <c r="J1757" s="44"/>
    </row>
    <row r="1758" spans="1:10" x14ac:dyDescent="0.25">
      <c r="A1758" s="51"/>
      <c r="B1758" s="83"/>
      <c r="C1758" s="83"/>
      <c r="D1758" s="84" t="s">
        <v>764</v>
      </c>
      <c r="E1758" s="85">
        <f>230</f>
        <v>230</v>
      </c>
      <c r="F1758" s="85"/>
      <c r="G1758" s="85"/>
      <c r="H1758" s="85"/>
      <c r="I1758" s="88">
        <v>230</v>
      </c>
      <c r="J1758" s="44" t="s">
        <v>27</v>
      </c>
    </row>
    <row r="1759" spans="1:10" ht="26.4" x14ac:dyDescent="0.25">
      <c r="A1759" s="39" t="s">
        <v>1651</v>
      </c>
      <c r="B1759" s="16" t="s">
        <v>1652</v>
      </c>
      <c r="C1759" s="16" t="s">
        <v>21</v>
      </c>
      <c r="D1759" s="17" t="s">
        <v>1653</v>
      </c>
      <c r="E1759" s="16" t="s">
        <v>588</v>
      </c>
      <c r="F1759" s="27">
        <v>20</v>
      </c>
      <c r="G1759" s="67">
        <v>53.45</v>
      </c>
      <c r="H1759" s="67">
        <v>64.459999999999994</v>
      </c>
      <c r="I1759" s="18">
        <v>1289.2</v>
      </c>
      <c r="J1759" s="40">
        <v>7.3655457053398653E-5</v>
      </c>
    </row>
    <row r="1760" spans="1:10" x14ac:dyDescent="0.25">
      <c r="A1760" s="43" t="s">
        <v>24</v>
      </c>
      <c r="B1760" s="83"/>
      <c r="C1760" s="83"/>
      <c r="D1760" s="84" t="s">
        <v>3</v>
      </c>
      <c r="E1760" s="85" t="s">
        <v>25</v>
      </c>
      <c r="F1760" s="85"/>
      <c r="G1760" s="85"/>
      <c r="H1760" s="86"/>
      <c r="I1760" s="87" t="s">
        <v>1911</v>
      </c>
      <c r="J1760" s="44"/>
    </row>
    <row r="1761" spans="1:10" x14ac:dyDescent="0.25">
      <c r="A1761" s="51"/>
      <c r="B1761" s="83"/>
      <c r="C1761" s="83"/>
      <c r="D1761" s="84" t="s">
        <v>764</v>
      </c>
      <c r="E1761" s="85">
        <f>20</f>
        <v>20</v>
      </c>
      <c r="F1761" s="85"/>
      <c r="G1761" s="85"/>
      <c r="H1761" s="85"/>
      <c r="I1761" s="88">
        <v>20</v>
      </c>
      <c r="J1761" s="44" t="s">
        <v>27</v>
      </c>
    </row>
    <row r="1762" spans="1:10" ht="26.4" x14ac:dyDescent="0.25">
      <c r="A1762" s="39" t="s">
        <v>1654</v>
      </c>
      <c r="B1762" s="16" t="s">
        <v>1655</v>
      </c>
      <c r="C1762" s="16" t="s">
        <v>21</v>
      </c>
      <c r="D1762" s="17" t="s">
        <v>1656</v>
      </c>
      <c r="E1762" s="16" t="s">
        <v>588</v>
      </c>
      <c r="F1762" s="27">
        <v>4</v>
      </c>
      <c r="G1762" s="67">
        <v>73.400000000000006</v>
      </c>
      <c r="H1762" s="67">
        <v>88.52</v>
      </c>
      <c r="I1762" s="18">
        <v>354.08</v>
      </c>
      <c r="J1762" s="40">
        <v>2.0229540981591215E-5</v>
      </c>
    </row>
    <row r="1763" spans="1:10" x14ac:dyDescent="0.25">
      <c r="A1763" s="43" t="s">
        <v>24</v>
      </c>
      <c r="B1763" s="83"/>
      <c r="C1763" s="83"/>
      <c r="D1763" s="84" t="s">
        <v>3</v>
      </c>
      <c r="E1763" s="85" t="s">
        <v>25</v>
      </c>
      <c r="F1763" s="85"/>
      <c r="G1763" s="85"/>
      <c r="H1763" s="86"/>
      <c r="I1763" s="87" t="s">
        <v>1911</v>
      </c>
      <c r="J1763" s="44"/>
    </row>
    <row r="1764" spans="1:10" x14ac:dyDescent="0.25">
      <c r="A1764" s="51"/>
      <c r="B1764" s="83"/>
      <c r="C1764" s="83"/>
      <c r="D1764" s="84" t="s">
        <v>764</v>
      </c>
      <c r="E1764" s="85">
        <f>4</f>
        <v>4</v>
      </c>
      <c r="F1764" s="85"/>
      <c r="G1764" s="85"/>
      <c r="H1764" s="85"/>
      <c r="I1764" s="88">
        <v>4</v>
      </c>
      <c r="J1764" s="44" t="s">
        <v>27</v>
      </c>
    </row>
    <row r="1765" spans="1:10" ht="39.6" x14ac:dyDescent="0.25">
      <c r="A1765" s="39" t="s">
        <v>1657</v>
      </c>
      <c r="B1765" s="16" t="s">
        <v>1658</v>
      </c>
      <c r="C1765" s="16" t="s">
        <v>21</v>
      </c>
      <c r="D1765" s="17" t="s">
        <v>1659</v>
      </c>
      <c r="E1765" s="16" t="s">
        <v>588</v>
      </c>
      <c r="F1765" s="27">
        <v>27</v>
      </c>
      <c r="G1765" s="67">
        <v>49.55</v>
      </c>
      <c r="H1765" s="67">
        <v>59.75</v>
      </c>
      <c r="I1765" s="18">
        <v>1613.25</v>
      </c>
      <c r="J1765" s="40">
        <v>9.2169303514889374E-5</v>
      </c>
    </row>
    <row r="1766" spans="1:10" x14ac:dyDescent="0.25">
      <c r="A1766" s="43" t="s">
        <v>24</v>
      </c>
      <c r="B1766" s="83"/>
      <c r="C1766" s="83"/>
      <c r="D1766" s="84" t="s">
        <v>3</v>
      </c>
      <c r="E1766" s="85" t="s">
        <v>25</v>
      </c>
      <c r="F1766" s="85"/>
      <c r="G1766" s="85"/>
      <c r="H1766" s="86"/>
      <c r="I1766" s="87" t="s">
        <v>1911</v>
      </c>
      <c r="J1766" s="44"/>
    </row>
    <row r="1767" spans="1:10" x14ac:dyDescent="0.25">
      <c r="A1767" s="51"/>
      <c r="B1767" s="83"/>
      <c r="C1767" s="83"/>
      <c r="D1767" s="84" t="s">
        <v>764</v>
      </c>
      <c r="E1767" s="85">
        <f>27</f>
        <v>27</v>
      </c>
      <c r="F1767" s="85"/>
      <c r="G1767" s="85"/>
      <c r="H1767" s="85"/>
      <c r="I1767" s="88">
        <v>27</v>
      </c>
      <c r="J1767" s="44" t="s">
        <v>27</v>
      </c>
    </row>
    <row r="1768" spans="1:10" ht="26.4" x14ac:dyDescent="0.25">
      <c r="A1768" s="39" t="s">
        <v>1660</v>
      </c>
      <c r="B1768" s="16" t="s">
        <v>1661</v>
      </c>
      <c r="C1768" s="16" t="s">
        <v>21</v>
      </c>
      <c r="D1768" s="17" t="s">
        <v>1662</v>
      </c>
      <c r="E1768" s="16" t="s">
        <v>588</v>
      </c>
      <c r="F1768" s="27">
        <v>52</v>
      </c>
      <c r="G1768" s="67">
        <v>43.46</v>
      </c>
      <c r="H1768" s="67">
        <v>52.41</v>
      </c>
      <c r="I1768" s="18">
        <v>2725.32</v>
      </c>
      <c r="J1768" s="40">
        <v>1.5570484813587373E-4</v>
      </c>
    </row>
    <row r="1769" spans="1:10" x14ac:dyDescent="0.25">
      <c r="A1769" s="43" t="s">
        <v>24</v>
      </c>
      <c r="B1769" s="83"/>
      <c r="C1769" s="83"/>
      <c r="D1769" s="84" t="s">
        <v>3</v>
      </c>
      <c r="E1769" s="85" t="s">
        <v>25</v>
      </c>
      <c r="F1769" s="85"/>
      <c r="G1769" s="85"/>
      <c r="H1769" s="86"/>
      <c r="I1769" s="87" t="s">
        <v>1911</v>
      </c>
      <c r="J1769" s="44"/>
    </row>
    <row r="1770" spans="1:10" x14ac:dyDescent="0.25">
      <c r="A1770" s="51"/>
      <c r="B1770" s="83"/>
      <c r="C1770" s="83"/>
      <c r="D1770" s="84" t="s">
        <v>764</v>
      </c>
      <c r="E1770" s="85">
        <f>52</f>
        <v>52</v>
      </c>
      <c r="F1770" s="85"/>
      <c r="G1770" s="85"/>
      <c r="H1770" s="85"/>
      <c r="I1770" s="88">
        <v>52</v>
      </c>
      <c r="J1770" s="44" t="s">
        <v>27</v>
      </c>
    </row>
    <row r="1771" spans="1:10" ht="26.4" x14ac:dyDescent="0.25">
      <c r="A1771" s="39" t="s">
        <v>1663</v>
      </c>
      <c r="B1771" s="16" t="s">
        <v>1664</v>
      </c>
      <c r="C1771" s="16" t="s">
        <v>21</v>
      </c>
      <c r="D1771" s="17" t="s">
        <v>1665</v>
      </c>
      <c r="E1771" s="16" t="s">
        <v>588</v>
      </c>
      <c r="F1771" s="27">
        <v>16</v>
      </c>
      <c r="G1771" s="67">
        <v>58.47</v>
      </c>
      <c r="H1771" s="67">
        <v>70.510000000000005</v>
      </c>
      <c r="I1771" s="18">
        <v>1128.1600000000001</v>
      </c>
      <c r="J1771" s="40">
        <v>6.4454809517035548E-5</v>
      </c>
    </row>
    <row r="1772" spans="1:10" x14ac:dyDescent="0.25">
      <c r="A1772" s="43" t="s">
        <v>24</v>
      </c>
      <c r="B1772" s="83"/>
      <c r="C1772" s="83"/>
      <c r="D1772" s="84" t="s">
        <v>3</v>
      </c>
      <c r="E1772" s="85" t="s">
        <v>25</v>
      </c>
      <c r="F1772" s="85"/>
      <c r="G1772" s="85"/>
      <c r="H1772" s="86"/>
      <c r="I1772" s="87" t="s">
        <v>1911</v>
      </c>
      <c r="J1772" s="44"/>
    </row>
    <row r="1773" spans="1:10" x14ac:dyDescent="0.25">
      <c r="A1773" s="51"/>
      <c r="B1773" s="83"/>
      <c r="C1773" s="83"/>
      <c r="D1773" s="84" t="s">
        <v>764</v>
      </c>
      <c r="E1773" s="85">
        <f>16</f>
        <v>16</v>
      </c>
      <c r="F1773" s="85"/>
      <c r="G1773" s="85"/>
      <c r="H1773" s="85"/>
      <c r="I1773" s="88">
        <v>16</v>
      </c>
      <c r="J1773" s="44" t="s">
        <v>27</v>
      </c>
    </row>
    <row r="1774" spans="1:10" ht="26.4" x14ac:dyDescent="0.25">
      <c r="A1774" s="39" t="s">
        <v>1666</v>
      </c>
      <c r="B1774" s="16" t="s">
        <v>1667</v>
      </c>
      <c r="C1774" s="16" t="s">
        <v>21</v>
      </c>
      <c r="D1774" s="17" t="s">
        <v>1668</v>
      </c>
      <c r="E1774" s="16" t="s">
        <v>588</v>
      </c>
      <c r="F1774" s="27">
        <v>2</v>
      </c>
      <c r="G1774" s="67">
        <v>34.590000000000003</v>
      </c>
      <c r="H1774" s="67">
        <v>41.71</v>
      </c>
      <c r="I1774" s="18">
        <v>83.42</v>
      </c>
      <c r="J1774" s="40">
        <v>4.7660085536724448E-6</v>
      </c>
    </row>
    <row r="1775" spans="1:10" x14ac:dyDescent="0.25">
      <c r="A1775" s="43" t="s">
        <v>24</v>
      </c>
      <c r="B1775" s="83"/>
      <c r="C1775" s="83"/>
      <c r="D1775" s="84" t="s">
        <v>3</v>
      </c>
      <c r="E1775" s="85" t="s">
        <v>25</v>
      </c>
      <c r="F1775" s="85"/>
      <c r="G1775" s="85"/>
      <c r="H1775" s="86"/>
      <c r="I1775" s="87" t="s">
        <v>1911</v>
      </c>
      <c r="J1775" s="44"/>
    </row>
    <row r="1776" spans="1:10" x14ac:dyDescent="0.25">
      <c r="A1776" s="51"/>
      <c r="B1776" s="83"/>
      <c r="C1776" s="83"/>
      <c r="D1776" s="84" t="s">
        <v>764</v>
      </c>
      <c r="E1776" s="85">
        <f>2</f>
        <v>2</v>
      </c>
      <c r="F1776" s="85"/>
      <c r="G1776" s="85"/>
      <c r="H1776" s="85"/>
      <c r="I1776" s="88">
        <v>2</v>
      </c>
      <c r="J1776" s="44" t="s">
        <v>27</v>
      </c>
    </row>
    <row r="1777" spans="1:10" ht="26.4" x14ac:dyDescent="0.25">
      <c r="A1777" s="39" t="s">
        <v>1669</v>
      </c>
      <c r="B1777" s="16" t="s">
        <v>1670</v>
      </c>
      <c r="C1777" s="16" t="s">
        <v>21</v>
      </c>
      <c r="D1777" s="17" t="s">
        <v>1671</v>
      </c>
      <c r="E1777" s="16" t="s">
        <v>588</v>
      </c>
      <c r="F1777" s="27">
        <v>1</v>
      </c>
      <c r="G1777" s="67">
        <v>46.23</v>
      </c>
      <c r="H1777" s="67">
        <v>55.75</v>
      </c>
      <c r="I1777" s="18">
        <v>55.75</v>
      </c>
      <c r="J1777" s="40">
        <v>3.1851471693507408E-6</v>
      </c>
    </row>
    <row r="1778" spans="1:10" x14ac:dyDescent="0.25">
      <c r="A1778" s="43" t="s">
        <v>24</v>
      </c>
      <c r="B1778" s="83"/>
      <c r="C1778" s="83"/>
      <c r="D1778" s="84" t="s">
        <v>3</v>
      </c>
      <c r="E1778" s="85" t="s">
        <v>25</v>
      </c>
      <c r="F1778" s="85"/>
      <c r="G1778" s="85"/>
      <c r="H1778" s="86"/>
      <c r="I1778" s="87" t="s">
        <v>1911</v>
      </c>
      <c r="J1778" s="44"/>
    </row>
    <row r="1779" spans="1:10" x14ac:dyDescent="0.25">
      <c r="A1779" s="51"/>
      <c r="B1779" s="83"/>
      <c r="C1779" s="83"/>
      <c r="D1779" s="84" t="s">
        <v>764</v>
      </c>
      <c r="E1779" s="85">
        <f>1</f>
        <v>1</v>
      </c>
      <c r="F1779" s="85"/>
      <c r="G1779" s="85"/>
      <c r="H1779" s="85"/>
      <c r="I1779" s="88">
        <v>1</v>
      </c>
      <c r="J1779" s="44" t="s">
        <v>27</v>
      </c>
    </row>
    <row r="1780" spans="1:10" ht="39.6" x14ac:dyDescent="0.25">
      <c r="A1780" s="39" t="s">
        <v>1672</v>
      </c>
      <c r="B1780" s="16" t="s">
        <v>1673</v>
      </c>
      <c r="C1780" s="16" t="s">
        <v>21</v>
      </c>
      <c r="D1780" s="17" t="s">
        <v>1674</v>
      </c>
      <c r="E1780" s="16" t="s">
        <v>588</v>
      </c>
      <c r="F1780" s="27">
        <v>1</v>
      </c>
      <c r="G1780" s="67">
        <v>27.33</v>
      </c>
      <c r="H1780" s="67">
        <v>32.950000000000003</v>
      </c>
      <c r="I1780" s="18">
        <v>32.950000000000003</v>
      </c>
      <c r="J1780" s="40">
        <v>1.8825219592844289E-6</v>
      </c>
    </row>
    <row r="1781" spans="1:10" x14ac:dyDescent="0.25">
      <c r="A1781" s="43" t="s">
        <v>24</v>
      </c>
      <c r="B1781" s="83"/>
      <c r="C1781" s="83"/>
      <c r="D1781" s="84" t="s">
        <v>3</v>
      </c>
      <c r="E1781" s="85" t="s">
        <v>25</v>
      </c>
      <c r="F1781" s="85"/>
      <c r="G1781" s="85"/>
      <c r="H1781" s="86"/>
      <c r="I1781" s="87" t="s">
        <v>1911</v>
      </c>
      <c r="J1781" s="44"/>
    </row>
    <row r="1782" spans="1:10" x14ac:dyDescent="0.25">
      <c r="A1782" s="51"/>
      <c r="B1782" s="83"/>
      <c r="C1782" s="83"/>
      <c r="D1782" s="84" t="s">
        <v>764</v>
      </c>
      <c r="E1782" s="85">
        <f>1</f>
        <v>1</v>
      </c>
      <c r="F1782" s="85"/>
      <c r="G1782" s="85"/>
      <c r="H1782" s="85"/>
      <c r="I1782" s="88">
        <v>1</v>
      </c>
      <c r="J1782" s="44" t="s">
        <v>27</v>
      </c>
    </row>
    <row r="1783" spans="1:10" ht="39.6" x14ac:dyDescent="0.25">
      <c r="A1783" s="39" t="s">
        <v>1675</v>
      </c>
      <c r="B1783" s="16" t="s">
        <v>1676</v>
      </c>
      <c r="C1783" s="16" t="s">
        <v>21</v>
      </c>
      <c r="D1783" s="17" t="s">
        <v>1677</v>
      </c>
      <c r="E1783" s="16" t="s">
        <v>588</v>
      </c>
      <c r="F1783" s="27">
        <v>318</v>
      </c>
      <c r="G1783" s="67">
        <v>114.99</v>
      </c>
      <c r="H1783" s="67">
        <v>138.66999999999999</v>
      </c>
      <c r="I1783" s="18">
        <v>44097.06</v>
      </c>
      <c r="J1783" s="40">
        <v>2.5193834230616999E-3</v>
      </c>
    </row>
    <row r="1784" spans="1:10" x14ac:dyDescent="0.25">
      <c r="A1784" s="43" t="s">
        <v>24</v>
      </c>
      <c r="B1784" s="83"/>
      <c r="C1784" s="83"/>
      <c r="D1784" s="84" t="s">
        <v>3</v>
      </c>
      <c r="E1784" s="85" t="s">
        <v>25</v>
      </c>
      <c r="F1784" s="85"/>
      <c r="G1784" s="85"/>
      <c r="H1784" s="86"/>
      <c r="I1784" s="87" t="s">
        <v>1911</v>
      </c>
      <c r="J1784" s="44"/>
    </row>
    <row r="1785" spans="1:10" x14ac:dyDescent="0.25">
      <c r="A1785" s="51"/>
      <c r="B1785" s="83"/>
      <c r="C1785" s="83"/>
      <c r="D1785" s="84" t="s">
        <v>764</v>
      </c>
      <c r="E1785" s="85">
        <f>318</f>
        <v>318</v>
      </c>
      <c r="F1785" s="85"/>
      <c r="G1785" s="85"/>
      <c r="H1785" s="85"/>
      <c r="I1785" s="88">
        <v>318</v>
      </c>
      <c r="J1785" s="44" t="s">
        <v>27</v>
      </c>
    </row>
    <row r="1786" spans="1:10" ht="26.4" x14ac:dyDescent="0.25">
      <c r="A1786" s="39" t="s">
        <v>1678</v>
      </c>
      <c r="B1786" s="16" t="s">
        <v>1679</v>
      </c>
      <c r="C1786" s="16" t="s">
        <v>21</v>
      </c>
      <c r="D1786" s="17" t="s">
        <v>1680</v>
      </c>
      <c r="E1786" s="16" t="s">
        <v>588</v>
      </c>
      <c r="F1786" s="27">
        <v>68</v>
      </c>
      <c r="G1786" s="67">
        <v>37.54</v>
      </c>
      <c r="H1786" s="67">
        <v>45.27</v>
      </c>
      <c r="I1786" s="18">
        <v>3078.36</v>
      </c>
      <c r="J1786" s="40">
        <v>1.7587497112542684E-4</v>
      </c>
    </row>
    <row r="1787" spans="1:10" x14ac:dyDescent="0.25">
      <c r="A1787" s="43" t="s">
        <v>24</v>
      </c>
      <c r="B1787" s="83"/>
      <c r="C1787" s="83"/>
      <c r="D1787" s="84" t="s">
        <v>3</v>
      </c>
      <c r="E1787" s="85" t="s">
        <v>25</v>
      </c>
      <c r="F1787" s="85"/>
      <c r="G1787" s="85"/>
      <c r="H1787" s="86"/>
      <c r="I1787" s="87" t="s">
        <v>1911</v>
      </c>
      <c r="J1787" s="44"/>
    </row>
    <row r="1788" spans="1:10" x14ac:dyDescent="0.25">
      <c r="A1788" s="51"/>
      <c r="B1788" s="83"/>
      <c r="C1788" s="83"/>
      <c r="D1788" s="84" t="s">
        <v>764</v>
      </c>
      <c r="E1788" s="85">
        <f>68</f>
        <v>68</v>
      </c>
      <c r="F1788" s="85"/>
      <c r="G1788" s="85"/>
      <c r="H1788" s="85"/>
      <c r="I1788" s="88">
        <v>68</v>
      </c>
      <c r="J1788" s="44" t="s">
        <v>27</v>
      </c>
    </row>
    <row r="1789" spans="1:10" ht="26.4" x14ac:dyDescent="0.25">
      <c r="A1789" s="39" t="s">
        <v>1681</v>
      </c>
      <c r="B1789" s="16" t="s">
        <v>1682</v>
      </c>
      <c r="C1789" s="16" t="s">
        <v>21</v>
      </c>
      <c r="D1789" s="17" t="s">
        <v>1683</v>
      </c>
      <c r="E1789" s="16" t="s">
        <v>588</v>
      </c>
      <c r="F1789" s="27">
        <v>50</v>
      </c>
      <c r="G1789" s="67">
        <v>92.19</v>
      </c>
      <c r="H1789" s="67">
        <v>111.18</v>
      </c>
      <c r="I1789" s="18">
        <v>5559</v>
      </c>
      <c r="J1789" s="40">
        <v>3.176005939806416E-4</v>
      </c>
    </row>
    <row r="1790" spans="1:10" x14ac:dyDescent="0.25">
      <c r="A1790" s="43" t="s">
        <v>24</v>
      </c>
      <c r="B1790" s="83"/>
      <c r="C1790" s="83"/>
      <c r="D1790" s="84" t="s">
        <v>3</v>
      </c>
      <c r="E1790" s="85" t="s">
        <v>25</v>
      </c>
      <c r="F1790" s="85"/>
      <c r="G1790" s="85"/>
      <c r="H1790" s="86"/>
      <c r="I1790" s="87" t="s">
        <v>1911</v>
      </c>
      <c r="J1790" s="44"/>
    </row>
    <row r="1791" spans="1:10" x14ac:dyDescent="0.25">
      <c r="A1791" s="51"/>
      <c r="B1791" s="83"/>
      <c r="C1791" s="83"/>
      <c r="D1791" s="84" t="s">
        <v>764</v>
      </c>
      <c r="E1791" s="85">
        <f>50</f>
        <v>50</v>
      </c>
      <c r="F1791" s="85"/>
      <c r="G1791" s="85"/>
      <c r="H1791" s="85"/>
      <c r="I1791" s="88">
        <v>50</v>
      </c>
      <c r="J1791" s="44" t="s">
        <v>27</v>
      </c>
    </row>
    <row r="1792" spans="1:10" ht="26.4" x14ac:dyDescent="0.25">
      <c r="A1792" s="39" t="s">
        <v>1684</v>
      </c>
      <c r="B1792" s="16" t="s">
        <v>1685</v>
      </c>
      <c r="C1792" s="16" t="s">
        <v>56</v>
      </c>
      <c r="D1792" s="17" t="s">
        <v>1686</v>
      </c>
      <c r="E1792" s="16" t="s">
        <v>1083</v>
      </c>
      <c r="F1792" s="27">
        <v>24</v>
      </c>
      <c r="G1792" s="67">
        <v>55.85</v>
      </c>
      <c r="H1792" s="67">
        <v>67.349999999999994</v>
      </c>
      <c r="I1792" s="18">
        <v>1616.4</v>
      </c>
      <c r="J1792" s="40">
        <v>9.2349271471543277E-5</v>
      </c>
    </row>
    <row r="1793" spans="1:10" x14ac:dyDescent="0.25">
      <c r="A1793" s="43" t="s">
        <v>24</v>
      </c>
      <c r="B1793" s="83"/>
      <c r="C1793" s="83"/>
      <c r="D1793" s="84" t="s">
        <v>3</v>
      </c>
      <c r="E1793" s="85" t="s">
        <v>25</v>
      </c>
      <c r="F1793" s="85"/>
      <c r="G1793" s="85"/>
      <c r="H1793" s="86"/>
      <c r="I1793" s="87" t="s">
        <v>1911</v>
      </c>
      <c r="J1793" s="44"/>
    </row>
    <row r="1794" spans="1:10" x14ac:dyDescent="0.25">
      <c r="A1794" s="51"/>
      <c r="B1794" s="83"/>
      <c r="C1794" s="83"/>
      <c r="D1794" s="84" t="s">
        <v>764</v>
      </c>
      <c r="E1794" s="85">
        <f>24</f>
        <v>24</v>
      </c>
      <c r="F1794" s="85"/>
      <c r="G1794" s="85"/>
      <c r="H1794" s="85"/>
      <c r="I1794" s="88">
        <v>24</v>
      </c>
      <c r="J1794" s="44" t="s">
        <v>27</v>
      </c>
    </row>
    <row r="1795" spans="1:10" ht="26.4" x14ac:dyDescent="0.25">
      <c r="A1795" s="39" t="s">
        <v>1687</v>
      </c>
      <c r="B1795" s="16" t="s">
        <v>1688</v>
      </c>
      <c r="C1795" s="16" t="s">
        <v>56</v>
      </c>
      <c r="D1795" s="17" t="s">
        <v>1689</v>
      </c>
      <c r="E1795" s="16" t="s">
        <v>1083</v>
      </c>
      <c r="F1795" s="27">
        <v>110</v>
      </c>
      <c r="G1795" s="67">
        <v>266.33</v>
      </c>
      <c r="H1795" s="67">
        <v>321.19</v>
      </c>
      <c r="I1795" s="18">
        <v>35330.9</v>
      </c>
      <c r="J1795" s="40">
        <v>2.01854916817245E-3</v>
      </c>
    </row>
    <row r="1796" spans="1:10" x14ac:dyDescent="0.25">
      <c r="A1796" s="43" t="s">
        <v>24</v>
      </c>
      <c r="B1796" s="83"/>
      <c r="C1796" s="83"/>
      <c r="D1796" s="84" t="s">
        <v>3</v>
      </c>
      <c r="E1796" s="85" t="s">
        <v>25</v>
      </c>
      <c r="F1796" s="85"/>
      <c r="G1796" s="85"/>
      <c r="H1796" s="86"/>
      <c r="I1796" s="87" t="s">
        <v>1911</v>
      </c>
      <c r="J1796" s="44"/>
    </row>
    <row r="1797" spans="1:10" x14ac:dyDescent="0.25">
      <c r="A1797" s="51"/>
      <c r="B1797" s="83"/>
      <c r="C1797" s="83"/>
      <c r="D1797" s="84" t="s">
        <v>764</v>
      </c>
      <c r="E1797" s="85">
        <f>110</f>
        <v>110</v>
      </c>
      <c r="F1797" s="85"/>
      <c r="G1797" s="85"/>
      <c r="H1797" s="85"/>
      <c r="I1797" s="88">
        <v>110</v>
      </c>
      <c r="J1797" s="44" t="s">
        <v>27</v>
      </c>
    </row>
    <row r="1798" spans="1:10" ht="26.4" x14ac:dyDescent="0.25">
      <c r="A1798" s="39" t="s">
        <v>1690</v>
      </c>
      <c r="B1798" s="16" t="s">
        <v>1691</v>
      </c>
      <c r="C1798" s="16" t="s">
        <v>56</v>
      </c>
      <c r="D1798" s="17" t="s">
        <v>1692</v>
      </c>
      <c r="E1798" s="16" t="s">
        <v>1083</v>
      </c>
      <c r="F1798" s="27">
        <v>38</v>
      </c>
      <c r="G1798" s="67">
        <v>2677.77</v>
      </c>
      <c r="H1798" s="67">
        <v>3229.39</v>
      </c>
      <c r="I1798" s="18">
        <v>122716.82</v>
      </c>
      <c r="J1798" s="40">
        <v>7.0111413785600785E-3</v>
      </c>
    </row>
    <row r="1799" spans="1:10" x14ac:dyDescent="0.25">
      <c r="A1799" s="43" t="s">
        <v>24</v>
      </c>
      <c r="B1799" s="83"/>
      <c r="C1799" s="83"/>
      <c r="D1799" s="84" t="s">
        <v>3</v>
      </c>
      <c r="E1799" s="85" t="s">
        <v>25</v>
      </c>
      <c r="F1799" s="85"/>
      <c r="G1799" s="85"/>
      <c r="H1799" s="86"/>
      <c r="I1799" s="87" t="s">
        <v>1911</v>
      </c>
      <c r="J1799" s="44"/>
    </row>
    <row r="1800" spans="1:10" x14ac:dyDescent="0.25">
      <c r="A1800" s="51"/>
      <c r="B1800" s="83"/>
      <c r="C1800" s="83"/>
      <c r="D1800" s="84" t="s">
        <v>764</v>
      </c>
      <c r="E1800" s="85">
        <f>38</f>
        <v>38</v>
      </c>
      <c r="F1800" s="85"/>
      <c r="G1800" s="85"/>
      <c r="H1800" s="85"/>
      <c r="I1800" s="88">
        <v>38</v>
      </c>
      <c r="J1800" s="44" t="s">
        <v>27</v>
      </c>
    </row>
    <row r="1801" spans="1:10" x14ac:dyDescent="0.25">
      <c r="A1801" s="39" t="s">
        <v>1693</v>
      </c>
      <c r="B1801" s="16" t="s">
        <v>1694</v>
      </c>
      <c r="C1801" s="16" t="s">
        <v>56</v>
      </c>
      <c r="D1801" s="17" t="s">
        <v>1695</v>
      </c>
      <c r="E1801" s="16" t="s">
        <v>1083</v>
      </c>
      <c r="F1801" s="27">
        <v>4</v>
      </c>
      <c r="G1801" s="67">
        <v>89.15</v>
      </c>
      <c r="H1801" s="67">
        <v>107.51</v>
      </c>
      <c r="I1801" s="18">
        <v>430.04</v>
      </c>
      <c r="J1801" s="40">
        <v>2.4569339707759506E-5</v>
      </c>
    </row>
    <row r="1802" spans="1:10" x14ac:dyDescent="0.25">
      <c r="A1802" s="43" t="s">
        <v>24</v>
      </c>
      <c r="B1802" s="83"/>
      <c r="C1802" s="83"/>
      <c r="D1802" s="84" t="s">
        <v>3</v>
      </c>
      <c r="E1802" s="85" t="s">
        <v>25</v>
      </c>
      <c r="F1802" s="85"/>
      <c r="G1802" s="85"/>
      <c r="H1802" s="86"/>
      <c r="I1802" s="87" t="s">
        <v>1911</v>
      </c>
      <c r="J1802" s="44"/>
    </row>
    <row r="1803" spans="1:10" x14ac:dyDescent="0.25">
      <c r="A1803" s="51"/>
      <c r="B1803" s="83"/>
      <c r="C1803" s="83"/>
      <c r="D1803" s="84" t="s">
        <v>764</v>
      </c>
      <c r="E1803" s="85">
        <f>4</f>
        <v>4</v>
      </c>
      <c r="F1803" s="85"/>
      <c r="G1803" s="85"/>
      <c r="H1803" s="85"/>
      <c r="I1803" s="88">
        <v>4</v>
      </c>
      <c r="J1803" s="44" t="s">
        <v>27</v>
      </c>
    </row>
    <row r="1804" spans="1:10" x14ac:dyDescent="0.25">
      <c r="A1804" s="39" t="s">
        <v>1696</v>
      </c>
      <c r="B1804" s="16" t="s">
        <v>1697</v>
      </c>
      <c r="C1804" s="16" t="s">
        <v>582</v>
      </c>
      <c r="D1804" s="17" t="s">
        <v>1698</v>
      </c>
      <c r="E1804" s="16" t="s">
        <v>588</v>
      </c>
      <c r="F1804" s="27">
        <v>8</v>
      </c>
      <c r="G1804" s="67">
        <v>135.38</v>
      </c>
      <c r="H1804" s="67">
        <v>163.26</v>
      </c>
      <c r="I1804" s="18">
        <v>1306.08</v>
      </c>
      <c r="J1804" s="40">
        <v>7.4619856770324945E-5</v>
      </c>
    </row>
    <row r="1805" spans="1:10" x14ac:dyDescent="0.25">
      <c r="A1805" s="43" t="s">
        <v>24</v>
      </c>
      <c r="B1805" s="83"/>
      <c r="C1805" s="83"/>
      <c r="D1805" s="84" t="s">
        <v>3</v>
      </c>
      <c r="E1805" s="85" t="s">
        <v>25</v>
      </c>
      <c r="F1805" s="85"/>
      <c r="G1805" s="85"/>
      <c r="H1805" s="86"/>
      <c r="I1805" s="87" t="s">
        <v>1911</v>
      </c>
      <c r="J1805" s="44"/>
    </row>
    <row r="1806" spans="1:10" x14ac:dyDescent="0.25">
      <c r="A1806" s="51"/>
      <c r="B1806" s="83"/>
      <c r="C1806" s="83"/>
      <c r="D1806" s="84" t="s">
        <v>764</v>
      </c>
      <c r="E1806" s="85">
        <f>8</f>
        <v>8</v>
      </c>
      <c r="F1806" s="85"/>
      <c r="G1806" s="85"/>
      <c r="H1806" s="85"/>
      <c r="I1806" s="88">
        <v>8</v>
      </c>
      <c r="J1806" s="44" t="s">
        <v>27</v>
      </c>
    </row>
    <row r="1807" spans="1:10" x14ac:dyDescent="0.25">
      <c r="A1807" s="41" t="s">
        <v>1699</v>
      </c>
      <c r="B1807" s="13"/>
      <c r="C1807" s="13"/>
      <c r="D1807" s="14" t="s">
        <v>1700</v>
      </c>
      <c r="E1807" s="14"/>
      <c r="F1807" s="26">
        <v>1</v>
      </c>
      <c r="G1807" s="66"/>
      <c r="H1807" s="66"/>
      <c r="I1807" s="15">
        <v>309358.48</v>
      </c>
      <c r="J1807" s="42">
        <v>1.7674480482271708E-2</v>
      </c>
    </row>
    <row r="1808" spans="1:10" ht="26.4" x14ac:dyDescent="0.25">
      <c r="A1808" s="39" t="s">
        <v>1701</v>
      </c>
      <c r="B1808" s="16" t="s">
        <v>1702</v>
      </c>
      <c r="C1808" s="16" t="s">
        <v>21</v>
      </c>
      <c r="D1808" s="17" t="s">
        <v>1703</v>
      </c>
      <c r="E1808" s="16" t="s">
        <v>588</v>
      </c>
      <c r="F1808" s="27">
        <v>74</v>
      </c>
      <c r="G1808" s="67">
        <v>3287.49</v>
      </c>
      <c r="H1808" s="67">
        <v>3964.71</v>
      </c>
      <c r="I1808" s="18">
        <v>293388.53999999998</v>
      </c>
      <c r="J1808" s="40">
        <v>1.6762074936339848E-2</v>
      </c>
    </row>
    <row r="1809" spans="1:10" x14ac:dyDescent="0.25">
      <c r="A1809" s="43" t="s">
        <v>24</v>
      </c>
      <c r="B1809" s="83"/>
      <c r="C1809" s="83"/>
      <c r="D1809" s="84" t="s">
        <v>3</v>
      </c>
      <c r="E1809" s="85" t="s">
        <v>25</v>
      </c>
      <c r="F1809" s="85"/>
      <c r="G1809" s="85"/>
      <c r="H1809" s="86"/>
      <c r="I1809" s="87" t="s">
        <v>1911</v>
      </c>
      <c r="J1809" s="44"/>
    </row>
    <row r="1810" spans="1:10" ht="26.4" x14ac:dyDescent="0.25">
      <c r="A1810" s="51"/>
      <c r="B1810" s="83"/>
      <c r="C1810" s="83"/>
      <c r="D1810" s="84" t="s">
        <v>1704</v>
      </c>
      <c r="E1810" s="85">
        <f>74</f>
        <v>74</v>
      </c>
      <c r="F1810" s="85"/>
      <c r="G1810" s="85"/>
      <c r="H1810" s="85"/>
      <c r="I1810" s="88">
        <v>74</v>
      </c>
      <c r="J1810" s="44" t="s">
        <v>27</v>
      </c>
    </row>
    <row r="1811" spans="1:10" ht="26.4" x14ac:dyDescent="0.25">
      <c r="A1811" s="39" t="s">
        <v>1705</v>
      </c>
      <c r="B1811" s="16" t="s">
        <v>1706</v>
      </c>
      <c r="C1811" s="16" t="s">
        <v>21</v>
      </c>
      <c r="D1811" s="17" t="s">
        <v>1707</v>
      </c>
      <c r="E1811" s="16" t="s">
        <v>52</v>
      </c>
      <c r="F1811" s="27">
        <v>670.31</v>
      </c>
      <c r="G1811" s="67">
        <v>16.02</v>
      </c>
      <c r="H1811" s="67">
        <v>19.32</v>
      </c>
      <c r="I1811" s="18">
        <v>12950.38</v>
      </c>
      <c r="J1811" s="40">
        <v>7.3988997666397211E-4</v>
      </c>
    </row>
    <row r="1812" spans="1:10" x14ac:dyDescent="0.25">
      <c r="A1812" s="43" t="s">
        <v>24</v>
      </c>
      <c r="B1812" s="83"/>
      <c r="C1812" s="83"/>
      <c r="D1812" s="84" t="s">
        <v>3</v>
      </c>
      <c r="E1812" s="85" t="s">
        <v>25</v>
      </c>
      <c r="F1812" s="85"/>
      <c r="G1812" s="85"/>
      <c r="H1812" s="86"/>
      <c r="I1812" s="87" t="s">
        <v>1911</v>
      </c>
      <c r="J1812" s="44"/>
    </row>
    <row r="1813" spans="1:10" x14ac:dyDescent="0.25">
      <c r="A1813" s="51"/>
      <c r="B1813" s="83"/>
      <c r="C1813" s="83"/>
      <c r="D1813" s="84" t="s">
        <v>764</v>
      </c>
      <c r="E1813" s="85">
        <f>670.31</f>
        <v>670.31</v>
      </c>
      <c r="F1813" s="85"/>
      <c r="G1813" s="85"/>
      <c r="H1813" s="85"/>
      <c r="I1813" s="88">
        <v>670.31</v>
      </c>
      <c r="J1813" s="44" t="s">
        <v>27</v>
      </c>
    </row>
    <row r="1814" spans="1:10" ht="26.4" x14ac:dyDescent="0.25">
      <c r="A1814" s="39" t="s">
        <v>1708</v>
      </c>
      <c r="B1814" s="16" t="s">
        <v>1709</v>
      </c>
      <c r="C1814" s="16" t="s">
        <v>21</v>
      </c>
      <c r="D1814" s="17" t="s">
        <v>1710</v>
      </c>
      <c r="E1814" s="16" t="s">
        <v>588</v>
      </c>
      <c r="F1814" s="27">
        <v>270</v>
      </c>
      <c r="G1814" s="67">
        <v>7.45</v>
      </c>
      <c r="H1814" s="67">
        <v>8.98</v>
      </c>
      <c r="I1814" s="18">
        <v>2424.6</v>
      </c>
      <c r="J1814" s="40">
        <v>1.385239072073149E-4</v>
      </c>
    </row>
    <row r="1815" spans="1:10" x14ac:dyDescent="0.25">
      <c r="A1815" s="43" t="s">
        <v>24</v>
      </c>
      <c r="B1815" s="83"/>
      <c r="C1815" s="83"/>
      <c r="D1815" s="84" t="s">
        <v>3</v>
      </c>
      <c r="E1815" s="85" t="s">
        <v>25</v>
      </c>
      <c r="F1815" s="85"/>
      <c r="G1815" s="85"/>
      <c r="H1815" s="86"/>
      <c r="I1815" s="87" t="s">
        <v>1911</v>
      </c>
      <c r="J1815" s="44"/>
    </row>
    <row r="1816" spans="1:10" x14ac:dyDescent="0.25">
      <c r="A1816" s="51"/>
      <c r="B1816" s="83"/>
      <c r="C1816" s="83"/>
      <c r="D1816" s="84" t="s">
        <v>764</v>
      </c>
      <c r="E1816" s="85">
        <f>270</f>
        <v>270</v>
      </c>
      <c r="F1816" s="85"/>
      <c r="G1816" s="85"/>
      <c r="H1816" s="85"/>
      <c r="I1816" s="88">
        <v>270</v>
      </c>
      <c r="J1816" s="44" t="s">
        <v>27</v>
      </c>
    </row>
    <row r="1817" spans="1:10" ht="26.4" x14ac:dyDescent="0.25">
      <c r="A1817" s="39" t="s">
        <v>1711</v>
      </c>
      <c r="B1817" s="16" t="s">
        <v>1712</v>
      </c>
      <c r="C1817" s="16" t="s">
        <v>21</v>
      </c>
      <c r="D1817" s="17" t="s">
        <v>1713</v>
      </c>
      <c r="E1817" s="16" t="s">
        <v>588</v>
      </c>
      <c r="F1817" s="27">
        <v>74</v>
      </c>
      <c r="G1817" s="67">
        <v>6.67</v>
      </c>
      <c r="H1817" s="67">
        <v>8.0399999999999991</v>
      </c>
      <c r="I1817" s="18">
        <v>594.96</v>
      </c>
      <c r="J1817" s="40">
        <v>3.3991662060572496E-5</v>
      </c>
    </row>
    <row r="1818" spans="1:10" x14ac:dyDescent="0.25">
      <c r="A1818" s="43" t="s">
        <v>24</v>
      </c>
      <c r="B1818" s="83"/>
      <c r="C1818" s="83"/>
      <c r="D1818" s="84" t="s">
        <v>3</v>
      </c>
      <c r="E1818" s="85" t="s">
        <v>25</v>
      </c>
      <c r="F1818" s="85"/>
      <c r="G1818" s="85"/>
      <c r="H1818" s="86"/>
      <c r="I1818" s="87" t="s">
        <v>1911</v>
      </c>
      <c r="J1818" s="44"/>
    </row>
    <row r="1819" spans="1:10" x14ac:dyDescent="0.25">
      <c r="A1819" s="51"/>
      <c r="B1819" s="83"/>
      <c r="C1819" s="83"/>
      <c r="D1819" s="84" t="s">
        <v>764</v>
      </c>
      <c r="E1819" s="85">
        <f>74</f>
        <v>74</v>
      </c>
      <c r="F1819" s="85"/>
      <c r="G1819" s="85"/>
      <c r="H1819" s="85"/>
      <c r="I1819" s="88">
        <v>74</v>
      </c>
      <c r="J1819" s="44" t="s">
        <v>27</v>
      </c>
    </row>
    <row r="1820" spans="1:10" x14ac:dyDescent="0.25">
      <c r="A1820" s="41" t="s">
        <v>1714</v>
      </c>
      <c r="B1820" s="13"/>
      <c r="C1820" s="13"/>
      <c r="D1820" s="14" t="s">
        <v>1715</v>
      </c>
      <c r="E1820" s="14"/>
      <c r="F1820" s="26">
        <v>1</v>
      </c>
      <c r="G1820" s="66"/>
      <c r="H1820" s="66"/>
      <c r="I1820" s="15">
        <v>67661.61</v>
      </c>
      <c r="J1820" s="42">
        <v>3.8656894271787224E-3</v>
      </c>
    </row>
    <row r="1821" spans="1:10" ht="26.4" x14ac:dyDescent="0.25">
      <c r="A1821" s="39" t="s">
        <v>1716</v>
      </c>
      <c r="B1821" s="16" t="s">
        <v>1717</v>
      </c>
      <c r="C1821" s="16" t="s">
        <v>21</v>
      </c>
      <c r="D1821" s="17" t="s">
        <v>1718</v>
      </c>
      <c r="E1821" s="16" t="s">
        <v>588</v>
      </c>
      <c r="F1821" s="27">
        <v>4</v>
      </c>
      <c r="G1821" s="67">
        <v>47.2</v>
      </c>
      <c r="H1821" s="67">
        <v>56.92</v>
      </c>
      <c r="I1821" s="18">
        <v>227.68</v>
      </c>
      <c r="J1821" s="40">
        <v>1.3007969641574469E-5</v>
      </c>
    </row>
    <row r="1822" spans="1:10" x14ac:dyDescent="0.25">
      <c r="A1822" s="43" t="s">
        <v>24</v>
      </c>
      <c r="B1822" s="83"/>
      <c r="C1822" s="83"/>
      <c r="D1822" s="84" t="s">
        <v>3</v>
      </c>
      <c r="E1822" s="85" t="s">
        <v>25</v>
      </c>
      <c r="F1822" s="85"/>
      <c r="G1822" s="85"/>
      <c r="H1822" s="86"/>
      <c r="I1822" s="87" t="s">
        <v>1911</v>
      </c>
      <c r="J1822" s="44"/>
    </row>
    <row r="1823" spans="1:10" x14ac:dyDescent="0.25">
      <c r="A1823" s="51"/>
      <c r="B1823" s="83"/>
      <c r="C1823" s="83"/>
      <c r="D1823" s="84" t="s">
        <v>764</v>
      </c>
      <c r="E1823" s="85">
        <f>4</f>
        <v>4</v>
      </c>
      <c r="F1823" s="85"/>
      <c r="G1823" s="85"/>
      <c r="H1823" s="85"/>
      <c r="I1823" s="88">
        <v>4</v>
      </c>
      <c r="J1823" s="44" t="s">
        <v>27</v>
      </c>
    </row>
    <row r="1824" spans="1:10" ht="26.4" x14ac:dyDescent="0.25">
      <c r="A1824" s="39" t="s">
        <v>1719</v>
      </c>
      <c r="B1824" s="16" t="s">
        <v>1720</v>
      </c>
      <c r="C1824" s="16" t="s">
        <v>21</v>
      </c>
      <c r="D1824" s="17" t="s">
        <v>1721</v>
      </c>
      <c r="E1824" s="16" t="s">
        <v>588</v>
      </c>
      <c r="F1824" s="27">
        <v>4</v>
      </c>
      <c r="G1824" s="67">
        <v>144.72999999999999</v>
      </c>
      <c r="H1824" s="67">
        <v>174.54</v>
      </c>
      <c r="I1824" s="18">
        <v>698.16</v>
      </c>
      <c r="J1824" s="40">
        <v>3.9887755116662117E-5</v>
      </c>
    </row>
    <row r="1825" spans="1:10" x14ac:dyDescent="0.25">
      <c r="A1825" s="43" t="s">
        <v>24</v>
      </c>
      <c r="B1825" s="83"/>
      <c r="C1825" s="83"/>
      <c r="D1825" s="84" t="s">
        <v>3</v>
      </c>
      <c r="E1825" s="85" t="s">
        <v>25</v>
      </c>
      <c r="F1825" s="85"/>
      <c r="G1825" s="85"/>
      <c r="H1825" s="86"/>
      <c r="I1825" s="87" t="s">
        <v>1911</v>
      </c>
      <c r="J1825" s="44"/>
    </row>
    <row r="1826" spans="1:10" x14ac:dyDescent="0.25">
      <c r="A1826" s="51"/>
      <c r="B1826" s="83"/>
      <c r="C1826" s="83"/>
      <c r="D1826" s="84" t="s">
        <v>764</v>
      </c>
      <c r="E1826" s="85">
        <f>4</f>
        <v>4</v>
      </c>
      <c r="F1826" s="85"/>
      <c r="G1826" s="85"/>
      <c r="H1826" s="85"/>
      <c r="I1826" s="88">
        <v>4</v>
      </c>
      <c r="J1826" s="44" t="s">
        <v>27</v>
      </c>
    </row>
    <row r="1827" spans="1:10" ht="26.4" x14ac:dyDescent="0.25">
      <c r="A1827" s="39" t="s">
        <v>1722</v>
      </c>
      <c r="B1827" s="16" t="s">
        <v>1723</v>
      </c>
      <c r="C1827" s="16" t="s">
        <v>21</v>
      </c>
      <c r="D1827" s="17" t="s">
        <v>1724</v>
      </c>
      <c r="E1827" s="16" t="s">
        <v>52</v>
      </c>
      <c r="F1827" s="27">
        <v>4</v>
      </c>
      <c r="G1827" s="67">
        <v>62.98</v>
      </c>
      <c r="H1827" s="67">
        <v>75.95</v>
      </c>
      <c r="I1827" s="18">
        <v>303.8</v>
      </c>
      <c r="J1827" s="40">
        <v>1.7356909597287086E-5</v>
      </c>
    </row>
    <row r="1828" spans="1:10" x14ac:dyDescent="0.25">
      <c r="A1828" s="43" t="s">
        <v>24</v>
      </c>
      <c r="B1828" s="83"/>
      <c r="C1828" s="83"/>
      <c r="D1828" s="84" t="s">
        <v>3</v>
      </c>
      <c r="E1828" s="85" t="s">
        <v>25</v>
      </c>
      <c r="F1828" s="85"/>
      <c r="G1828" s="85"/>
      <c r="H1828" s="86"/>
      <c r="I1828" s="87" t="s">
        <v>1911</v>
      </c>
      <c r="J1828" s="44"/>
    </row>
    <row r="1829" spans="1:10" x14ac:dyDescent="0.25">
      <c r="A1829" s="51"/>
      <c r="B1829" s="83"/>
      <c r="C1829" s="83"/>
      <c r="D1829" s="84" t="s">
        <v>764</v>
      </c>
      <c r="E1829" s="85">
        <f>4</f>
        <v>4</v>
      </c>
      <c r="F1829" s="85"/>
      <c r="G1829" s="85"/>
      <c r="H1829" s="85"/>
      <c r="I1829" s="88">
        <v>4</v>
      </c>
      <c r="J1829" s="44" t="s">
        <v>27</v>
      </c>
    </row>
    <row r="1830" spans="1:10" ht="26.4" x14ac:dyDescent="0.25">
      <c r="A1830" s="39" t="s">
        <v>1725</v>
      </c>
      <c r="B1830" s="16" t="s">
        <v>1726</v>
      </c>
      <c r="C1830" s="16" t="s">
        <v>21</v>
      </c>
      <c r="D1830" s="17" t="s">
        <v>1727</v>
      </c>
      <c r="E1830" s="16" t="s">
        <v>52</v>
      </c>
      <c r="F1830" s="27">
        <v>436</v>
      </c>
      <c r="G1830" s="67">
        <v>80.819999999999993</v>
      </c>
      <c r="H1830" s="67">
        <v>97.46</v>
      </c>
      <c r="I1830" s="18">
        <v>42492.56</v>
      </c>
      <c r="J1830" s="40">
        <v>2.4277140305375157E-3</v>
      </c>
    </row>
    <row r="1831" spans="1:10" x14ac:dyDescent="0.25">
      <c r="A1831" s="43" t="s">
        <v>24</v>
      </c>
      <c r="B1831" s="83"/>
      <c r="C1831" s="83"/>
      <c r="D1831" s="84" t="s">
        <v>3</v>
      </c>
      <c r="E1831" s="85" t="s">
        <v>25</v>
      </c>
      <c r="F1831" s="85"/>
      <c r="G1831" s="85"/>
      <c r="H1831" s="86"/>
      <c r="I1831" s="87" t="s">
        <v>1911</v>
      </c>
      <c r="J1831" s="44"/>
    </row>
    <row r="1832" spans="1:10" x14ac:dyDescent="0.25">
      <c r="A1832" s="51"/>
      <c r="B1832" s="83"/>
      <c r="C1832" s="83"/>
      <c r="D1832" s="84" t="s">
        <v>764</v>
      </c>
      <c r="E1832" s="85">
        <f>436</f>
        <v>436</v>
      </c>
      <c r="F1832" s="85"/>
      <c r="G1832" s="85"/>
      <c r="H1832" s="85"/>
      <c r="I1832" s="88">
        <v>436</v>
      </c>
      <c r="J1832" s="44" t="s">
        <v>27</v>
      </c>
    </row>
    <row r="1833" spans="1:10" ht="26.4" x14ac:dyDescent="0.25">
      <c r="A1833" s="39" t="s">
        <v>1728</v>
      </c>
      <c r="B1833" s="16" t="s">
        <v>1729</v>
      </c>
      <c r="C1833" s="16" t="s">
        <v>21</v>
      </c>
      <c r="D1833" s="17" t="s">
        <v>1730</v>
      </c>
      <c r="E1833" s="16" t="s">
        <v>588</v>
      </c>
      <c r="F1833" s="27">
        <v>2</v>
      </c>
      <c r="G1833" s="67">
        <v>149.91</v>
      </c>
      <c r="H1833" s="67">
        <v>180.79</v>
      </c>
      <c r="I1833" s="18">
        <v>361.58</v>
      </c>
      <c r="J1833" s="40">
        <v>2.065803611648145E-5</v>
      </c>
    </row>
    <row r="1834" spans="1:10" x14ac:dyDescent="0.25">
      <c r="A1834" s="43" t="s">
        <v>24</v>
      </c>
      <c r="B1834" s="83"/>
      <c r="C1834" s="83"/>
      <c r="D1834" s="84" t="s">
        <v>3</v>
      </c>
      <c r="E1834" s="85" t="s">
        <v>25</v>
      </c>
      <c r="F1834" s="85"/>
      <c r="G1834" s="85"/>
      <c r="H1834" s="86"/>
      <c r="I1834" s="87" t="s">
        <v>1911</v>
      </c>
      <c r="J1834" s="44"/>
    </row>
    <row r="1835" spans="1:10" x14ac:dyDescent="0.25">
      <c r="A1835" s="51"/>
      <c r="B1835" s="83"/>
      <c r="C1835" s="83"/>
      <c r="D1835" s="84" t="s">
        <v>764</v>
      </c>
      <c r="E1835" s="85">
        <f>2</f>
        <v>2</v>
      </c>
      <c r="F1835" s="85"/>
      <c r="G1835" s="85"/>
      <c r="H1835" s="85"/>
      <c r="I1835" s="88">
        <v>2</v>
      </c>
      <c r="J1835" s="44" t="s">
        <v>27</v>
      </c>
    </row>
    <row r="1836" spans="1:10" ht="26.4" x14ac:dyDescent="0.25">
      <c r="A1836" s="39" t="s">
        <v>1731</v>
      </c>
      <c r="B1836" s="16" t="s">
        <v>1732</v>
      </c>
      <c r="C1836" s="16" t="s">
        <v>21</v>
      </c>
      <c r="D1836" s="17" t="s">
        <v>1733</v>
      </c>
      <c r="E1836" s="16" t="s">
        <v>588</v>
      </c>
      <c r="F1836" s="27">
        <v>2</v>
      </c>
      <c r="G1836" s="67">
        <v>179.02</v>
      </c>
      <c r="H1836" s="67">
        <v>215.89</v>
      </c>
      <c r="I1836" s="18">
        <v>431.78</v>
      </c>
      <c r="J1836" s="40">
        <v>2.4668750579054044E-5</v>
      </c>
    </row>
    <row r="1837" spans="1:10" x14ac:dyDescent="0.25">
      <c r="A1837" s="43" t="s">
        <v>24</v>
      </c>
      <c r="B1837" s="83"/>
      <c r="C1837" s="83"/>
      <c r="D1837" s="84" t="s">
        <v>3</v>
      </c>
      <c r="E1837" s="85" t="s">
        <v>25</v>
      </c>
      <c r="F1837" s="85"/>
      <c r="G1837" s="85"/>
      <c r="H1837" s="86"/>
      <c r="I1837" s="87" t="s">
        <v>1911</v>
      </c>
      <c r="J1837" s="44"/>
    </row>
    <row r="1838" spans="1:10" x14ac:dyDescent="0.25">
      <c r="A1838" s="51"/>
      <c r="B1838" s="83"/>
      <c r="C1838" s="83"/>
      <c r="D1838" s="84" t="s">
        <v>764</v>
      </c>
      <c r="E1838" s="85">
        <f>2</f>
        <v>2</v>
      </c>
      <c r="F1838" s="85"/>
      <c r="G1838" s="85"/>
      <c r="H1838" s="85"/>
      <c r="I1838" s="88">
        <v>2</v>
      </c>
      <c r="J1838" s="44" t="s">
        <v>27</v>
      </c>
    </row>
    <row r="1839" spans="1:10" ht="26.4" x14ac:dyDescent="0.25">
      <c r="A1839" s="39" t="s">
        <v>1734</v>
      </c>
      <c r="B1839" s="16" t="s">
        <v>1735</v>
      </c>
      <c r="C1839" s="16" t="s">
        <v>21</v>
      </c>
      <c r="D1839" s="17" t="s">
        <v>1736</v>
      </c>
      <c r="E1839" s="16" t="s">
        <v>588</v>
      </c>
      <c r="F1839" s="27">
        <v>2</v>
      </c>
      <c r="G1839" s="67">
        <v>124.03</v>
      </c>
      <c r="H1839" s="67">
        <v>149.58000000000001</v>
      </c>
      <c r="I1839" s="18">
        <v>299.16000000000003</v>
      </c>
      <c r="J1839" s="40">
        <v>1.7091813940501661E-5</v>
      </c>
    </row>
    <row r="1840" spans="1:10" x14ac:dyDescent="0.25">
      <c r="A1840" s="43" t="s">
        <v>24</v>
      </c>
      <c r="B1840" s="83"/>
      <c r="C1840" s="83"/>
      <c r="D1840" s="84" t="s">
        <v>3</v>
      </c>
      <c r="E1840" s="85" t="s">
        <v>25</v>
      </c>
      <c r="F1840" s="85"/>
      <c r="G1840" s="85"/>
      <c r="H1840" s="86"/>
      <c r="I1840" s="87" t="s">
        <v>1911</v>
      </c>
      <c r="J1840" s="44"/>
    </row>
    <row r="1841" spans="1:10" x14ac:dyDescent="0.25">
      <c r="A1841" s="51"/>
      <c r="B1841" s="83"/>
      <c r="C1841" s="83"/>
      <c r="D1841" s="84" t="s">
        <v>764</v>
      </c>
      <c r="E1841" s="85">
        <f>2</f>
        <v>2</v>
      </c>
      <c r="F1841" s="85"/>
      <c r="G1841" s="85"/>
      <c r="H1841" s="85"/>
      <c r="I1841" s="88">
        <v>2</v>
      </c>
      <c r="J1841" s="44" t="s">
        <v>27</v>
      </c>
    </row>
    <row r="1842" spans="1:10" x14ac:dyDescent="0.25">
      <c r="A1842" s="39" t="s">
        <v>1737</v>
      </c>
      <c r="B1842" s="16" t="s">
        <v>1738</v>
      </c>
      <c r="C1842" s="16" t="s">
        <v>582</v>
      </c>
      <c r="D1842" s="17" t="s">
        <v>1739</v>
      </c>
      <c r="E1842" s="16" t="s">
        <v>588</v>
      </c>
      <c r="F1842" s="27">
        <v>49</v>
      </c>
      <c r="G1842" s="67">
        <v>12.11</v>
      </c>
      <c r="H1842" s="67">
        <v>14.6</v>
      </c>
      <c r="I1842" s="18">
        <v>715.4</v>
      </c>
      <c r="J1842" s="40">
        <v>4.0872722600063137E-5</v>
      </c>
    </row>
    <row r="1843" spans="1:10" x14ac:dyDescent="0.25">
      <c r="A1843" s="43" t="s">
        <v>24</v>
      </c>
      <c r="B1843" s="83"/>
      <c r="C1843" s="83"/>
      <c r="D1843" s="84" t="s">
        <v>3</v>
      </c>
      <c r="E1843" s="85" t="s">
        <v>25</v>
      </c>
      <c r="F1843" s="85"/>
      <c r="G1843" s="85"/>
      <c r="H1843" s="86"/>
      <c r="I1843" s="87" t="s">
        <v>1911</v>
      </c>
      <c r="J1843" s="44"/>
    </row>
    <row r="1844" spans="1:10" x14ac:dyDescent="0.25">
      <c r="A1844" s="51"/>
      <c r="B1844" s="83"/>
      <c r="C1844" s="83"/>
      <c r="D1844" s="84" t="s">
        <v>764</v>
      </c>
      <c r="E1844" s="85">
        <f>49</f>
        <v>49</v>
      </c>
      <c r="F1844" s="85"/>
      <c r="G1844" s="85"/>
      <c r="H1844" s="85"/>
      <c r="I1844" s="88">
        <v>49</v>
      </c>
      <c r="J1844" s="44" t="s">
        <v>27</v>
      </c>
    </row>
    <row r="1845" spans="1:10" ht="26.4" x14ac:dyDescent="0.25">
      <c r="A1845" s="39" t="s">
        <v>1740</v>
      </c>
      <c r="B1845" s="16" t="s">
        <v>1741</v>
      </c>
      <c r="C1845" s="16" t="s">
        <v>21</v>
      </c>
      <c r="D1845" s="17" t="s">
        <v>1742</v>
      </c>
      <c r="E1845" s="16" t="s">
        <v>588</v>
      </c>
      <c r="F1845" s="27">
        <v>49</v>
      </c>
      <c r="G1845" s="67">
        <v>31.87</v>
      </c>
      <c r="H1845" s="67">
        <v>38.43</v>
      </c>
      <c r="I1845" s="18">
        <v>1883.07</v>
      </c>
      <c r="J1845" s="40">
        <v>1.0758484448770044E-4</v>
      </c>
    </row>
    <row r="1846" spans="1:10" x14ac:dyDescent="0.25">
      <c r="A1846" s="43" t="s">
        <v>24</v>
      </c>
      <c r="B1846" s="83"/>
      <c r="C1846" s="83"/>
      <c r="D1846" s="84" t="s">
        <v>3</v>
      </c>
      <c r="E1846" s="85" t="s">
        <v>25</v>
      </c>
      <c r="F1846" s="85"/>
      <c r="G1846" s="85"/>
      <c r="H1846" s="86"/>
      <c r="I1846" s="87" t="s">
        <v>1911</v>
      </c>
      <c r="J1846" s="44"/>
    </row>
    <row r="1847" spans="1:10" x14ac:dyDescent="0.25">
      <c r="A1847" s="51"/>
      <c r="B1847" s="83"/>
      <c r="C1847" s="83"/>
      <c r="D1847" s="84" t="s">
        <v>764</v>
      </c>
      <c r="E1847" s="85">
        <f>49</f>
        <v>49</v>
      </c>
      <c r="F1847" s="85"/>
      <c r="G1847" s="85"/>
      <c r="H1847" s="85"/>
      <c r="I1847" s="88">
        <v>49</v>
      </c>
      <c r="J1847" s="44" t="s">
        <v>27</v>
      </c>
    </row>
    <row r="1848" spans="1:10" x14ac:dyDescent="0.25">
      <c r="A1848" s="45" t="s">
        <v>1743</v>
      </c>
      <c r="B1848" s="21" t="s">
        <v>1744</v>
      </c>
      <c r="C1848" s="21" t="s">
        <v>56</v>
      </c>
      <c r="D1848" s="22" t="s">
        <v>1745</v>
      </c>
      <c r="E1848" s="21" t="s">
        <v>222</v>
      </c>
      <c r="F1848" s="28">
        <v>892.61189999999999</v>
      </c>
      <c r="G1848" s="68">
        <v>11.37</v>
      </c>
      <c r="H1848" s="68">
        <v>12.6</v>
      </c>
      <c r="I1848" s="23">
        <v>11246.9</v>
      </c>
      <c r="J1848" s="46">
        <v>6.4256559101293E-4</v>
      </c>
    </row>
    <row r="1849" spans="1:10" x14ac:dyDescent="0.25">
      <c r="A1849" s="43" t="s">
        <v>24</v>
      </c>
      <c r="B1849" s="83"/>
      <c r="C1849" s="83"/>
      <c r="D1849" s="84" t="s">
        <v>3</v>
      </c>
      <c r="E1849" s="85" t="s">
        <v>25</v>
      </c>
      <c r="F1849" s="85"/>
      <c r="G1849" s="85"/>
      <c r="H1849" s="86"/>
      <c r="I1849" s="87" t="s">
        <v>1911</v>
      </c>
      <c r="J1849" s="44"/>
    </row>
    <row r="1850" spans="1:10" ht="26.4" x14ac:dyDescent="0.25">
      <c r="A1850" s="51"/>
      <c r="B1850" s="83"/>
      <c r="C1850" s="83"/>
      <c r="D1850" s="84" t="s">
        <v>1746</v>
      </c>
      <c r="E1850" s="85">
        <f>1101.99*0.81</f>
        <v>892.61190000000011</v>
      </c>
      <c r="F1850" s="85"/>
      <c r="G1850" s="85"/>
      <c r="H1850" s="85"/>
      <c r="I1850" s="88">
        <v>892.61189999999999</v>
      </c>
      <c r="J1850" s="44" t="s">
        <v>27</v>
      </c>
    </row>
    <row r="1851" spans="1:10" x14ac:dyDescent="0.25">
      <c r="A1851" s="45" t="s">
        <v>1747</v>
      </c>
      <c r="B1851" s="21" t="s">
        <v>1748</v>
      </c>
      <c r="C1851" s="21" t="s">
        <v>56</v>
      </c>
      <c r="D1851" s="22" t="s">
        <v>1749</v>
      </c>
      <c r="E1851" s="21" t="s">
        <v>1750</v>
      </c>
      <c r="F1851" s="28">
        <v>49.199399999999997</v>
      </c>
      <c r="G1851" s="68">
        <v>165</v>
      </c>
      <c r="H1851" s="68">
        <v>182.96</v>
      </c>
      <c r="I1851" s="23">
        <v>9001.52</v>
      </c>
      <c r="J1851" s="46">
        <v>5.1428100354895215E-4</v>
      </c>
    </row>
    <row r="1852" spans="1:10" x14ac:dyDescent="0.25">
      <c r="A1852" s="43" t="s">
        <v>24</v>
      </c>
      <c r="B1852" s="83"/>
      <c r="C1852" s="83"/>
      <c r="D1852" s="84" t="s">
        <v>3</v>
      </c>
      <c r="E1852" s="85" t="s">
        <v>25</v>
      </c>
      <c r="F1852" s="85"/>
      <c r="G1852" s="85"/>
      <c r="H1852" s="86"/>
      <c r="I1852" s="87" t="s">
        <v>1911</v>
      </c>
      <c r="J1852" s="44"/>
    </row>
    <row r="1853" spans="1:10" ht="26.4" x14ac:dyDescent="0.25">
      <c r="A1853" s="51"/>
      <c r="B1853" s="83"/>
      <c r="C1853" s="83"/>
      <c r="D1853" s="84" t="s">
        <v>1746</v>
      </c>
      <c r="E1853" s="85">
        <f>0.81*60.74</f>
        <v>49.199400000000004</v>
      </c>
      <c r="F1853" s="85"/>
      <c r="G1853" s="85"/>
      <c r="H1853" s="85"/>
      <c r="I1853" s="88">
        <v>49.199399999999997</v>
      </c>
      <c r="J1853" s="44" t="s">
        <v>27</v>
      </c>
    </row>
    <row r="1854" spans="1:10" x14ac:dyDescent="0.25">
      <c r="A1854" s="41" t="s">
        <v>1751</v>
      </c>
      <c r="B1854" s="13"/>
      <c r="C1854" s="13"/>
      <c r="D1854" s="14" t="s">
        <v>1752</v>
      </c>
      <c r="E1854" s="14"/>
      <c r="F1854" s="26">
        <v>1</v>
      </c>
      <c r="G1854" s="66"/>
      <c r="H1854" s="66"/>
      <c r="I1854" s="15">
        <v>704859.56</v>
      </c>
      <c r="J1854" s="42">
        <v>4.0270518965449482E-2</v>
      </c>
    </row>
    <row r="1855" spans="1:10" x14ac:dyDescent="0.25">
      <c r="A1855" s="41" t="s">
        <v>1753</v>
      </c>
      <c r="B1855" s="13"/>
      <c r="C1855" s="13"/>
      <c r="D1855" s="14" t="s">
        <v>1754</v>
      </c>
      <c r="E1855" s="14"/>
      <c r="F1855" s="26">
        <v>1</v>
      </c>
      <c r="G1855" s="66"/>
      <c r="H1855" s="66"/>
      <c r="I1855" s="15">
        <v>201899.85</v>
      </c>
      <c r="J1855" s="42">
        <v>1.1535080461342407E-2</v>
      </c>
    </row>
    <row r="1856" spans="1:10" ht="79.2" x14ac:dyDescent="0.25">
      <c r="A1856" s="39" t="s">
        <v>1755</v>
      </c>
      <c r="B1856" s="16" t="s">
        <v>1756</v>
      </c>
      <c r="C1856" s="16" t="s">
        <v>14</v>
      </c>
      <c r="D1856" s="17" t="s">
        <v>1757</v>
      </c>
      <c r="E1856" s="16" t="s">
        <v>138</v>
      </c>
      <c r="F1856" s="27">
        <v>511.2</v>
      </c>
      <c r="G1856" s="67">
        <v>183.37</v>
      </c>
      <c r="H1856" s="67">
        <v>221.14</v>
      </c>
      <c r="I1856" s="18">
        <v>113046.76</v>
      </c>
      <c r="J1856" s="40">
        <v>6.4586648900138571E-3</v>
      </c>
    </row>
    <row r="1857" spans="1:10" x14ac:dyDescent="0.25">
      <c r="A1857" s="43" t="s">
        <v>24</v>
      </c>
      <c r="B1857" s="83"/>
      <c r="C1857" s="83"/>
      <c r="D1857" s="84" t="s">
        <v>3</v>
      </c>
      <c r="E1857" s="85" t="s">
        <v>25</v>
      </c>
      <c r="F1857" s="85"/>
      <c r="G1857" s="85"/>
      <c r="H1857" s="86"/>
      <c r="I1857" s="87" t="s">
        <v>1911</v>
      </c>
      <c r="J1857" s="44"/>
    </row>
    <row r="1858" spans="1:10" x14ac:dyDescent="0.25">
      <c r="A1858" s="51"/>
      <c r="B1858" s="83"/>
      <c r="C1858" s="83"/>
      <c r="D1858" s="84" t="s">
        <v>1758</v>
      </c>
      <c r="E1858" s="85">
        <f>211.66</f>
        <v>211.66</v>
      </c>
      <c r="F1858" s="85"/>
      <c r="G1858" s="85"/>
      <c r="H1858" s="85"/>
      <c r="I1858" s="88">
        <v>211.66</v>
      </c>
      <c r="J1858" s="44" t="s">
        <v>27</v>
      </c>
    </row>
    <row r="1859" spans="1:10" ht="26.4" x14ac:dyDescent="0.25">
      <c r="A1859" s="51"/>
      <c r="B1859" s="83"/>
      <c r="C1859" s="83"/>
      <c r="D1859" s="84" t="s">
        <v>1759</v>
      </c>
      <c r="E1859" s="85">
        <f>299.54</f>
        <v>299.54000000000002</v>
      </c>
      <c r="F1859" s="85"/>
      <c r="G1859" s="85"/>
      <c r="H1859" s="85"/>
      <c r="I1859" s="88">
        <v>299.54000000000002</v>
      </c>
      <c r="J1859" s="44" t="s">
        <v>27</v>
      </c>
    </row>
    <row r="1860" spans="1:10" ht="26.4" x14ac:dyDescent="0.25">
      <c r="A1860" s="39" t="s">
        <v>1760</v>
      </c>
      <c r="B1860" s="16" t="s">
        <v>236</v>
      </c>
      <c r="C1860" s="16" t="s">
        <v>43</v>
      </c>
      <c r="D1860" s="17" t="s">
        <v>237</v>
      </c>
      <c r="E1860" s="16" t="s">
        <v>66</v>
      </c>
      <c r="F1860" s="27">
        <v>58.37</v>
      </c>
      <c r="G1860" s="67">
        <v>708.26</v>
      </c>
      <c r="H1860" s="67">
        <v>854.16</v>
      </c>
      <c r="I1860" s="18">
        <v>49857.31</v>
      </c>
      <c r="J1860" s="40">
        <v>2.8484819698285629E-3</v>
      </c>
    </row>
    <row r="1861" spans="1:10" x14ac:dyDescent="0.25">
      <c r="A1861" s="43" t="s">
        <v>24</v>
      </c>
      <c r="B1861" s="83"/>
      <c r="C1861" s="83"/>
      <c r="D1861" s="84" t="s">
        <v>3</v>
      </c>
      <c r="E1861" s="85" t="s">
        <v>25</v>
      </c>
      <c r="F1861" s="85"/>
      <c r="G1861" s="85"/>
      <c r="H1861" s="86"/>
      <c r="I1861" s="87" t="s">
        <v>1911</v>
      </c>
      <c r="J1861" s="44"/>
    </row>
    <row r="1862" spans="1:10" ht="26.4" x14ac:dyDescent="0.25">
      <c r="A1862" s="51"/>
      <c r="B1862" s="83"/>
      <c r="C1862" s="83"/>
      <c r="D1862" s="84" t="s">
        <v>1761</v>
      </c>
      <c r="E1862" s="85">
        <f>5.93</f>
        <v>5.93</v>
      </c>
      <c r="F1862" s="85"/>
      <c r="G1862" s="85"/>
      <c r="H1862" s="85"/>
      <c r="I1862" s="88">
        <v>5.93</v>
      </c>
      <c r="J1862" s="44" t="s">
        <v>27</v>
      </c>
    </row>
    <row r="1863" spans="1:10" ht="26.4" x14ac:dyDescent="0.25">
      <c r="A1863" s="51"/>
      <c r="B1863" s="83"/>
      <c r="C1863" s="83"/>
      <c r="D1863" s="84" t="s">
        <v>1762</v>
      </c>
      <c r="E1863" s="85">
        <f>19.8</f>
        <v>19.8</v>
      </c>
      <c r="F1863" s="85"/>
      <c r="G1863" s="85"/>
      <c r="H1863" s="85"/>
      <c r="I1863" s="88">
        <v>19.8</v>
      </c>
      <c r="J1863" s="44" t="s">
        <v>27</v>
      </c>
    </row>
    <row r="1864" spans="1:10" ht="26.4" x14ac:dyDescent="0.25">
      <c r="A1864" s="51"/>
      <c r="B1864" s="83"/>
      <c r="C1864" s="83"/>
      <c r="D1864" s="84" t="s">
        <v>1763</v>
      </c>
      <c r="E1864" s="85">
        <f>16.97</f>
        <v>16.97</v>
      </c>
      <c r="F1864" s="85"/>
      <c r="G1864" s="85"/>
      <c r="H1864" s="85"/>
      <c r="I1864" s="88">
        <v>16.97</v>
      </c>
      <c r="J1864" s="44" t="s">
        <v>27</v>
      </c>
    </row>
    <row r="1865" spans="1:10" x14ac:dyDescent="0.25">
      <c r="A1865" s="51"/>
      <c r="B1865" s="83"/>
      <c r="C1865" s="83"/>
      <c r="D1865" s="84" t="s">
        <v>1764</v>
      </c>
      <c r="E1865" s="85">
        <f>3.79</f>
        <v>3.79</v>
      </c>
      <c r="F1865" s="85"/>
      <c r="G1865" s="85"/>
      <c r="H1865" s="85"/>
      <c r="I1865" s="88">
        <v>3.79</v>
      </c>
      <c r="J1865" s="44" t="s">
        <v>27</v>
      </c>
    </row>
    <row r="1866" spans="1:10" ht="26.4" x14ac:dyDescent="0.25">
      <c r="A1866" s="51"/>
      <c r="B1866" s="83"/>
      <c r="C1866" s="83"/>
      <c r="D1866" s="84" t="s">
        <v>1765</v>
      </c>
      <c r="E1866" s="85">
        <f>11.88</f>
        <v>11.88</v>
      </c>
      <c r="F1866" s="85"/>
      <c r="G1866" s="85"/>
      <c r="H1866" s="85"/>
      <c r="I1866" s="88">
        <v>11.88</v>
      </c>
      <c r="J1866" s="44" t="s">
        <v>27</v>
      </c>
    </row>
    <row r="1867" spans="1:10" x14ac:dyDescent="0.25">
      <c r="A1867" s="39" t="s">
        <v>1766</v>
      </c>
      <c r="B1867" s="16" t="s">
        <v>1767</v>
      </c>
      <c r="C1867" s="16" t="s">
        <v>21</v>
      </c>
      <c r="D1867" s="17" t="s">
        <v>1768</v>
      </c>
      <c r="E1867" s="16" t="s">
        <v>66</v>
      </c>
      <c r="F1867" s="27">
        <v>115.7</v>
      </c>
      <c r="G1867" s="67">
        <v>48.64</v>
      </c>
      <c r="H1867" s="67">
        <v>58.65</v>
      </c>
      <c r="I1867" s="18">
        <v>6785.8</v>
      </c>
      <c r="J1867" s="40">
        <v>3.8769097151175347E-4</v>
      </c>
    </row>
    <row r="1868" spans="1:10" x14ac:dyDescent="0.25">
      <c r="A1868" s="43" t="s">
        <v>24</v>
      </c>
      <c r="B1868" s="83"/>
      <c r="C1868" s="83"/>
      <c r="D1868" s="84" t="s">
        <v>3</v>
      </c>
      <c r="E1868" s="85" t="s">
        <v>25</v>
      </c>
      <c r="F1868" s="85"/>
      <c r="G1868" s="85"/>
      <c r="H1868" s="86"/>
      <c r="I1868" s="87" t="s">
        <v>1911</v>
      </c>
      <c r="J1868" s="44"/>
    </row>
    <row r="1869" spans="1:10" ht="26.4" x14ac:dyDescent="0.25">
      <c r="A1869" s="51"/>
      <c r="B1869" s="83"/>
      <c r="C1869" s="83"/>
      <c r="D1869" s="84" t="s">
        <v>1769</v>
      </c>
      <c r="E1869" s="85">
        <f>18.5</f>
        <v>18.5</v>
      </c>
      <c r="F1869" s="85"/>
      <c r="G1869" s="85"/>
      <c r="H1869" s="85"/>
      <c r="I1869" s="88">
        <v>18.5</v>
      </c>
      <c r="J1869" s="44" t="s">
        <v>27</v>
      </c>
    </row>
    <row r="1870" spans="1:10" ht="26.4" x14ac:dyDescent="0.25">
      <c r="A1870" s="51"/>
      <c r="B1870" s="83"/>
      <c r="C1870" s="83"/>
      <c r="D1870" s="84" t="s">
        <v>1770</v>
      </c>
      <c r="E1870" s="85">
        <f>60.75</f>
        <v>60.75</v>
      </c>
      <c r="F1870" s="85"/>
      <c r="G1870" s="85"/>
      <c r="H1870" s="85"/>
      <c r="I1870" s="88">
        <v>60.75</v>
      </c>
      <c r="J1870" s="44" t="s">
        <v>27</v>
      </c>
    </row>
    <row r="1871" spans="1:10" ht="26.4" x14ac:dyDescent="0.25">
      <c r="A1871" s="51"/>
      <c r="B1871" s="83"/>
      <c r="C1871" s="83"/>
      <c r="D1871" s="84" t="s">
        <v>1771</v>
      </c>
      <c r="E1871" s="85">
        <f>36.45</f>
        <v>36.450000000000003</v>
      </c>
      <c r="F1871" s="85"/>
      <c r="G1871" s="85"/>
      <c r="H1871" s="85"/>
      <c r="I1871" s="88">
        <v>36.450000000000003</v>
      </c>
      <c r="J1871" s="44" t="s">
        <v>27</v>
      </c>
    </row>
    <row r="1872" spans="1:10" ht="26.4" x14ac:dyDescent="0.25">
      <c r="A1872" s="39" t="s">
        <v>1772</v>
      </c>
      <c r="B1872" s="16" t="s">
        <v>1773</v>
      </c>
      <c r="C1872" s="16" t="s">
        <v>21</v>
      </c>
      <c r="D1872" s="17" t="s">
        <v>1774</v>
      </c>
      <c r="E1872" s="16" t="s">
        <v>23</v>
      </c>
      <c r="F1872" s="27">
        <v>36.94</v>
      </c>
      <c r="G1872" s="67">
        <v>88.55</v>
      </c>
      <c r="H1872" s="67">
        <v>106.79</v>
      </c>
      <c r="I1872" s="18">
        <v>3944.82</v>
      </c>
      <c r="J1872" s="40">
        <v>2.2537815706902582E-4</v>
      </c>
    </row>
    <row r="1873" spans="1:10" x14ac:dyDescent="0.25">
      <c r="A1873" s="43" t="s">
        <v>24</v>
      </c>
      <c r="B1873" s="83"/>
      <c r="C1873" s="83"/>
      <c r="D1873" s="84" t="s">
        <v>3</v>
      </c>
      <c r="E1873" s="85" t="s">
        <v>25</v>
      </c>
      <c r="F1873" s="85"/>
      <c r="G1873" s="85"/>
      <c r="H1873" s="86"/>
      <c r="I1873" s="87" t="s">
        <v>1911</v>
      </c>
      <c r="J1873" s="44"/>
    </row>
    <row r="1874" spans="1:10" x14ac:dyDescent="0.25">
      <c r="A1874" s="51"/>
      <c r="B1874" s="83"/>
      <c r="C1874" s="83"/>
      <c r="D1874" s="84" t="s">
        <v>1775</v>
      </c>
      <c r="E1874" s="85">
        <f>3.77</f>
        <v>3.77</v>
      </c>
      <c r="F1874" s="85"/>
      <c r="G1874" s="85"/>
      <c r="H1874" s="85"/>
      <c r="I1874" s="88">
        <v>3.77</v>
      </c>
      <c r="J1874" s="44" t="s">
        <v>27</v>
      </c>
    </row>
    <row r="1875" spans="1:10" x14ac:dyDescent="0.25">
      <c r="A1875" s="51"/>
      <c r="B1875" s="83"/>
      <c r="C1875" s="83"/>
      <c r="D1875" s="84" t="s">
        <v>1776</v>
      </c>
      <c r="E1875" s="85">
        <f>13.5</f>
        <v>13.5</v>
      </c>
      <c r="F1875" s="85"/>
      <c r="G1875" s="85"/>
      <c r="H1875" s="85"/>
      <c r="I1875" s="88">
        <v>13.5</v>
      </c>
      <c r="J1875" s="44" t="s">
        <v>27</v>
      </c>
    </row>
    <row r="1876" spans="1:10" x14ac:dyDescent="0.25">
      <c r="A1876" s="51"/>
      <c r="B1876" s="83"/>
      <c r="C1876" s="83"/>
      <c r="D1876" s="84" t="s">
        <v>1777</v>
      </c>
      <c r="E1876" s="85">
        <f>8.1</f>
        <v>8.1</v>
      </c>
      <c r="F1876" s="85"/>
      <c r="G1876" s="85"/>
      <c r="H1876" s="85"/>
      <c r="I1876" s="88">
        <v>8.1</v>
      </c>
      <c r="J1876" s="44" t="s">
        <v>27</v>
      </c>
    </row>
    <row r="1877" spans="1:10" x14ac:dyDescent="0.25">
      <c r="A1877" s="51"/>
      <c r="B1877" s="83"/>
      <c r="C1877" s="83"/>
      <c r="D1877" s="84" t="s">
        <v>1778</v>
      </c>
      <c r="E1877" s="85">
        <f>11.57</f>
        <v>11.57</v>
      </c>
      <c r="F1877" s="85"/>
      <c r="G1877" s="85"/>
      <c r="H1877" s="85"/>
      <c r="I1877" s="88">
        <v>11.57</v>
      </c>
      <c r="J1877" s="44" t="s">
        <v>27</v>
      </c>
    </row>
    <row r="1878" spans="1:10" ht="39.6" x14ac:dyDescent="0.25">
      <c r="A1878" s="39" t="s">
        <v>1779</v>
      </c>
      <c r="B1878" s="16" t="s">
        <v>1780</v>
      </c>
      <c r="C1878" s="16" t="s">
        <v>21</v>
      </c>
      <c r="D1878" s="17" t="s">
        <v>1781</v>
      </c>
      <c r="E1878" s="16" t="s">
        <v>66</v>
      </c>
      <c r="F1878" s="27">
        <v>22.19</v>
      </c>
      <c r="G1878" s="67">
        <v>447.85</v>
      </c>
      <c r="H1878" s="67">
        <v>540.1</v>
      </c>
      <c r="I1878" s="18">
        <v>11984.81</v>
      </c>
      <c r="J1878" s="40">
        <v>6.8472437034451032E-4</v>
      </c>
    </row>
    <row r="1879" spans="1:10" x14ac:dyDescent="0.25">
      <c r="A1879" s="43" t="s">
        <v>24</v>
      </c>
      <c r="B1879" s="83"/>
      <c r="C1879" s="83"/>
      <c r="D1879" s="84" t="s">
        <v>3</v>
      </c>
      <c r="E1879" s="85" t="s">
        <v>25</v>
      </c>
      <c r="F1879" s="85"/>
      <c r="G1879" s="85"/>
      <c r="H1879" s="86"/>
      <c r="I1879" s="87" t="s">
        <v>1911</v>
      </c>
      <c r="J1879" s="44"/>
    </row>
    <row r="1880" spans="1:10" x14ac:dyDescent="0.25">
      <c r="A1880" s="51"/>
      <c r="B1880" s="83"/>
      <c r="C1880" s="83"/>
      <c r="D1880" s="84" t="s">
        <v>1782</v>
      </c>
      <c r="E1880" s="85">
        <f>5.78</f>
        <v>5.78</v>
      </c>
      <c r="F1880" s="85"/>
      <c r="G1880" s="85"/>
      <c r="H1880" s="85"/>
      <c r="I1880" s="88">
        <v>5.78</v>
      </c>
      <c r="J1880" s="44" t="s">
        <v>27</v>
      </c>
    </row>
    <row r="1881" spans="1:10" x14ac:dyDescent="0.25">
      <c r="A1881" s="51"/>
      <c r="B1881" s="83"/>
      <c r="C1881" s="83"/>
      <c r="D1881" s="84" t="s">
        <v>1783</v>
      </c>
      <c r="E1881" s="85">
        <f>8.55</f>
        <v>8.5500000000000007</v>
      </c>
      <c r="F1881" s="85"/>
      <c r="G1881" s="85"/>
      <c r="H1881" s="85"/>
      <c r="I1881" s="88">
        <v>8.5500000000000007</v>
      </c>
      <c r="J1881" s="44" t="s">
        <v>27</v>
      </c>
    </row>
    <row r="1882" spans="1:10" x14ac:dyDescent="0.25">
      <c r="A1882" s="51"/>
      <c r="B1882" s="83"/>
      <c r="C1882" s="83"/>
      <c r="D1882" s="84" t="s">
        <v>1784</v>
      </c>
      <c r="E1882" s="85">
        <f>2.73</f>
        <v>2.73</v>
      </c>
      <c r="F1882" s="85"/>
      <c r="G1882" s="85"/>
      <c r="H1882" s="85"/>
      <c r="I1882" s="88">
        <v>2.73</v>
      </c>
      <c r="J1882" s="44" t="s">
        <v>27</v>
      </c>
    </row>
    <row r="1883" spans="1:10" x14ac:dyDescent="0.25">
      <c r="A1883" s="51"/>
      <c r="B1883" s="83"/>
      <c r="C1883" s="83"/>
      <c r="D1883" s="84" t="s">
        <v>1785</v>
      </c>
      <c r="E1883" s="85">
        <f>5.13</f>
        <v>5.13</v>
      </c>
      <c r="F1883" s="85"/>
      <c r="G1883" s="85"/>
      <c r="H1883" s="85"/>
      <c r="I1883" s="88">
        <v>5.13</v>
      </c>
      <c r="J1883" s="44" t="s">
        <v>27</v>
      </c>
    </row>
    <row r="1884" spans="1:10" ht="26.4" x14ac:dyDescent="0.25">
      <c r="A1884" s="39" t="s">
        <v>1786</v>
      </c>
      <c r="B1884" s="16" t="s">
        <v>1787</v>
      </c>
      <c r="C1884" s="16" t="s">
        <v>21</v>
      </c>
      <c r="D1884" s="17" t="s">
        <v>1788</v>
      </c>
      <c r="E1884" s="16" t="s">
        <v>66</v>
      </c>
      <c r="F1884" s="27">
        <v>22.19</v>
      </c>
      <c r="G1884" s="67">
        <v>207.11</v>
      </c>
      <c r="H1884" s="67">
        <v>249.77</v>
      </c>
      <c r="I1884" s="18">
        <v>5542.39</v>
      </c>
      <c r="J1884" s="40">
        <v>3.1665162008857135E-4</v>
      </c>
    </row>
    <row r="1885" spans="1:10" x14ac:dyDescent="0.25">
      <c r="A1885" s="43" t="s">
        <v>24</v>
      </c>
      <c r="B1885" s="83"/>
      <c r="C1885" s="83"/>
      <c r="D1885" s="84" t="s">
        <v>3</v>
      </c>
      <c r="E1885" s="85" t="s">
        <v>25</v>
      </c>
      <c r="F1885" s="85"/>
      <c r="G1885" s="85"/>
      <c r="H1885" s="86"/>
      <c r="I1885" s="87" t="s">
        <v>1911</v>
      </c>
      <c r="J1885" s="44"/>
    </row>
    <row r="1886" spans="1:10" x14ac:dyDescent="0.25">
      <c r="A1886" s="51"/>
      <c r="B1886" s="83"/>
      <c r="C1886" s="83"/>
      <c r="D1886" s="84" t="s">
        <v>1785</v>
      </c>
      <c r="E1886" s="85">
        <f>5.13</f>
        <v>5.13</v>
      </c>
      <c r="F1886" s="85"/>
      <c r="G1886" s="85"/>
      <c r="H1886" s="85"/>
      <c r="I1886" s="88">
        <v>5.13</v>
      </c>
      <c r="J1886" s="44" t="s">
        <v>27</v>
      </c>
    </row>
    <row r="1887" spans="1:10" x14ac:dyDescent="0.25">
      <c r="A1887" s="51"/>
      <c r="B1887" s="83"/>
      <c r="C1887" s="83"/>
      <c r="D1887" s="84" t="s">
        <v>1789</v>
      </c>
      <c r="E1887" s="85">
        <f>5.78</f>
        <v>5.78</v>
      </c>
      <c r="F1887" s="85"/>
      <c r="G1887" s="85"/>
      <c r="H1887" s="85"/>
      <c r="I1887" s="88">
        <v>5.78</v>
      </c>
      <c r="J1887" s="44" t="s">
        <v>27</v>
      </c>
    </row>
    <row r="1888" spans="1:10" x14ac:dyDescent="0.25">
      <c r="A1888" s="51"/>
      <c r="B1888" s="83"/>
      <c r="C1888" s="83"/>
      <c r="D1888" s="84" t="s">
        <v>1783</v>
      </c>
      <c r="E1888" s="85">
        <f>8.55</f>
        <v>8.5500000000000007</v>
      </c>
      <c r="F1888" s="85"/>
      <c r="G1888" s="85"/>
      <c r="H1888" s="85"/>
      <c r="I1888" s="88">
        <v>8.5500000000000007</v>
      </c>
      <c r="J1888" s="44" t="s">
        <v>27</v>
      </c>
    </row>
    <row r="1889" spans="1:10" x14ac:dyDescent="0.25">
      <c r="A1889" s="51"/>
      <c r="B1889" s="83"/>
      <c r="C1889" s="83"/>
      <c r="D1889" s="84" t="s">
        <v>1784</v>
      </c>
      <c r="E1889" s="85">
        <f>2.73</f>
        <v>2.73</v>
      </c>
      <c r="F1889" s="85"/>
      <c r="G1889" s="85"/>
      <c r="H1889" s="85"/>
      <c r="I1889" s="88">
        <v>2.73</v>
      </c>
      <c r="J1889" s="44" t="s">
        <v>27</v>
      </c>
    </row>
    <row r="1890" spans="1:10" ht="39.6" x14ac:dyDescent="0.25">
      <c r="A1890" s="39" t="s">
        <v>1790</v>
      </c>
      <c r="B1890" s="16" t="s">
        <v>185</v>
      </c>
      <c r="C1890" s="16" t="s">
        <v>21</v>
      </c>
      <c r="D1890" s="17" t="s">
        <v>186</v>
      </c>
      <c r="E1890" s="16" t="s">
        <v>23</v>
      </c>
      <c r="F1890" s="27">
        <v>136.38999999999999</v>
      </c>
      <c r="G1890" s="67">
        <v>4.26</v>
      </c>
      <c r="H1890" s="67">
        <v>5.13</v>
      </c>
      <c r="I1890" s="18">
        <v>699.68</v>
      </c>
      <c r="J1890" s="40">
        <v>3.9974596797333205E-5</v>
      </c>
    </row>
    <row r="1891" spans="1:10" x14ac:dyDescent="0.25">
      <c r="A1891" s="43" t="s">
        <v>24</v>
      </c>
      <c r="B1891" s="83"/>
      <c r="C1891" s="83"/>
      <c r="D1891" s="84" t="s">
        <v>3</v>
      </c>
      <c r="E1891" s="85" t="s">
        <v>25</v>
      </c>
      <c r="F1891" s="85"/>
      <c r="G1891" s="85"/>
      <c r="H1891" s="86"/>
      <c r="I1891" s="87" t="s">
        <v>1911</v>
      </c>
      <c r="J1891" s="44"/>
    </row>
    <row r="1892" spans="1:10" x14ac:dyDescent="0.25">
      <c r="A1892" s="51"/>
      <c r="B1892" s="83"/>
      <c r="C1892" s="83"/>
      <c r="D1892" s="84" t="s">
        <v>1791</v>
      </c>
      <c r="E1892" s="85">
        <f>23.96</f>
        <v>23.96</v>
      </c>
      <c r="F1892" s="85"/>
      <c r="G1892" s="85"/>
      <c r="H1892" s="85"/>
      <c r="I1892" s="88">
        <v>23.96</v>
      </c>
      <c r="J1892" s="44" t="s">
        <v>27</v>
      </c>
    </row>
    <row r="1893" spans="1:10" x14ac:dyDescent="0.25">
      <c r="A1893" s="51"/>
      <c r="B1893" s="83"/>
      <c r="C1893" s="83"/>
      <c r="D1893" s="84" t="s">
        <v>1792</v>
      </c>
      <c r="E1893" s="85">
        <f>24.3</f>
        <v>24.3</v>
      </c>
      <c r="F1893" s="85"/>
      <c r="G1893" s="85"/>
      <c r="H1893" s="85"/>
      <c r="I1893" s="88">
        <v>24.3</v>
      </c>
      <c r="J1893" s="44" t="s">
        <v>27</v>
      </c>
    </row>
    <row r="1894" spans="1:10" x14ac:dyDescent="0.25">
      <c r="A1894" s="51"/>
      <c r="B1894" s="83"/>
      <c r="C1894" s="83"/>
      <c r="D1894" s="84" t="s">
        <v>1793</v>
      </c>
      <c r="E1894" s="85">
        <f>12.92</f>
        <v>12.92</v>
      </c>
      <c r="F1894" s="85"/>
      <c r="G1894" s="85"/>
      <c r="H1894" s="85"/>
      <c r="I1894" s="88">
        <v>12.92</v>
      </c>
      <c r="J1894" s="44" t="s">
        <v>27</v>
      </c>
    </row>
    <row r="1895" spans="1:10" x14ac:dyDescent="0.25">
      <c r="A1895" s="51"/>
      <c r="B1895" s="83"/>
      <c r="C1895" s="83"/>
      <c r="D1895" s="84" t="s">
        <v>1794</v>
      </c>
      <c r="E1895" s="85">
        <f>40.5</f>
        <v>40.5</v>
      </c>
      <c r="F1895" s="85"/>
      <c r="G1895" s="85"/>
      <c r="H1895" s="85"/>
      <c r="I1895" s="88">
        <v>40.5</v>
      </c>
      <c r="J1895" s="44" t="s">
        <v>27</v>
      </c>
    </row>
    <row r="1896" spans="1:10" x14ac:dyDescent="0.25">
      <c r="A1896" s="51"/>
      <c r="B1896" s="83"/>
      <c r="C1896" s="83"/>
      <c r="D1896" s="84" t="s">
        <v>1795</v>
      </c>
      <c r="E1896" s="85">
        <f>34.71</f>
        <v>34.71</v>
      </c>
      <c r="F1896" s="85"/>
      <c r="G1896" s="85"/>
      <c r="H1896" s="85"/>
      <c r="I1896" s="88">
        <v>34.71</v>
      </c>
      <c r="J1896" s="44" t="s">
        <v>27</v>
      </c>
    </row>
    <row r="1897" spans="1:10" ht="52.8" x14ac:dyDescent="0.25">
      <c r="A1897" s="39" t="s">
        <v>1796</v>
      </c>
      <c r="B1897" s="16" t="s">
        <v>188</v>
      </c>
      <c r="C1897" s="16" t="s">
        <v>21</v>
      </c>
      <c r="D1897" s="17" t="s">
        <v>189</v>
      </c>
      <c r="E1897" s="16" t="s">
        <v>23</v>
      </c>
      <c r="F1897" s="27">
        <v>136.38999999999999</v>
      </c>
      <c r="G1897" s="67">
        <v>43.48</v>
      </c>
      <c r="H1897" s="67">
        <v>52.43</v>
      </c>
      <c r="I1897" s="18">
        <v>7150.92</v>
      </c>
      <c r="J1897" s="40">
        <v>4.0855125733190313E-4</v>
      </c>
    </row>
    <row r="1898" spans="1:10" x14ac:dyDescent="0.25">
      <c r="A1898" s="43" t="s">
        <v>24</v>
      </c>
      <c r="B1898" s="83"/>
      <c r="C1898" s="83"/>
      <c r="D1898" s="84" t="s">
        <v>3</v>
      </c>
      <c r="E1898" s="85" t="s">
        <v>25</v>
      </c>
      <c r="F1898" s="85"/>
      <c r="G1898" s="85"/>
      <c r="H1898" s="86"/>
      <c r="I1898" s="87" t="s">
        <v>1911</v>
      </c>
      <c r="J1898" s="44"/>
    </row>
    <row r="1899" spans="1:10" x14ac:dyDescent="0.25">
      <c r="A1899" s="51"/>
      <c r="B1899" s="83"/>
      <c r="C1899" s="83"/>
      <c r="D1899" s="84" t="s">
        <v>1795</v>
      </c>
      <c r="E1899" s="85">
        <f>34.71</f>
        <v>34.71</v>
      </c>
      <c r="F1899" s="85"/>
      <c r="G1899" s="85"/>
      <c r="H1899" s="85"/>
      <c r="I1899" s="88">
        <v>34.71</v>
      </c>
      <c r="J1899" s="44" t="s">
        <v>27</v>
      </c>
    </row>
    <row r="1900" spans="1:10" x14ac:dyDescent="0.25">
      <c r="A1900" s="51"/>
      <c r="B1900" s="83"/>
      <c r="C1900" s="83"/>
      <c r="D1900" s="84" t="s">
        <v>1794</v>
      </c>
      <c r="E1900" s="85">
        <f>40.5</f>
        <v>40.5</v>
      </c>
      <c r="F1900" s="85"/>
      <c r="G1900" s="85"/>
      <c r="H1900" s="85"/>
      <c r="I1900" s="88">
        <v>40.5</v>
      </c>
      <c r="J1900" s="44" t="s">
        <v>27</v>
      </c>
    </row>
    <row r="1901" spans="1:10" x14ac:dyDescent="0.25">
      <c r="A1901" s="51"/>
      <c r="B1901" s="83"/>
      <c r="C1901" s="83"/>
      <c r="D1901" s="84" t="s">
        <v>1793</v>
      </c>
      <c r="E1901" s="85">
        <f>12.92</f>
        <v>12.92</v>
      </c>
      <c r="F1901" s="85"/>
      <c r="G1901" s="85"/>
      <c r="H1901" s="85"/>
      <c r="I1901" s="88">
        <v>12.92</v>
      </c>
      <c r="J1901" s="44" t="s">
        <v>27</v>
      </c>
    </row>
    <row r="1902" spans="1:10" x14ac:dyDescent="0.25">
      <c r="A1902" s="51"/>
      <c r="B1902" s="83"/>
      <c r="C1902" s="83"/>
      <c r="D1902" s="84" t="s">
        <v>1792</v>
      </c>
      <c r="E1902" s="85">
        <f>24.3</f>
        <v>24.3</v>
      </c>
      <c r="F1902" s="85"/>
      <c r="G1902" s="85"/>
      <c r="H1902" s="85"/>
      <c r="I1902" s="88">
        <v>24.3</v>
      </c>
      <c r="J1902" s="44" t="s">
        <v>27</v>
      </c>
    </row>
    <row r="1903" spans="1:10" x14ac:dyDescent="0.25">
      <c r="A1903" s="51"/>
      <c r="B1903" s="83"/>
      <c r="C1903" s="83"/>
      <c r="D1903" s="84" t="s">
        <v>1791</v>
      </c>
      <c r="E1903" s="85">
        <f>23.96</f>
        <v>23.96</v>
      </c>
      <c r="F1903" s="85"/>
      <c r="G1903" s="85"/>
      <c r="H1903" s="85"/>
      <c r="I1903" s="88">
        <v>23.96</v>
      </c>
      <c r="J1903" s="44" t="s">
        <v>27</v>
      </c>
    </row>
    <row r="1904" spans="1:10" ht="26.4" x14ac:dyDescent="0.25">
      <c r="A1904" s="39" t="s">
        <v>1797</v>
      </c>
      <c r="B1904" s="16" t="s">
        <v>806</v>
      </c>
      <c r="C1904" s="16" t="s">
        <v>21</v>
      </c>
      <c r="D1904" s="17" t="s">
        <v>807</v>
      </c>
      <c r="E1904" s="16" t="s">
        <v>23</v>
      </c>
      <c r="F1904" s="27">
        <v>136.38999999999999</v>
      </c>
      <c r="G1904" s="67">
        <v>4.32</v>
      </c>
      <c r="H1904" s="67">
        <v>5.2</v>
      </c>
      <c r="I1904" s="18">
        <v>709.22</v>
      </c>
      <c r="J1904" s="40">
        <v>4.0519642608913587E-5</v>
      </c>
    </row>
    <row r="1905" spans="1:10" x14ac:dyDescent="0.25">
      <c r="A1905" s="43" t="s">
        <v>24</v>
      </c>
      <c r="B1905" s="83"/>
      <c r="C1905" s="83"/>
      <c r="D1905" s="84" t="s">
        <v>3</v>
      </c>
      <c r="E1905" s="85" t="s">
        <v>25</v>
      </c>
      <c r="F1905" s="85"/>
      <c r="G1905" s="85"/>
      <c r="H1905" s="86"/>
      <c r="I1905" s="87" t="s">
        <v>1911</v>
      </c>
      <c r="J1905" s="44"/>
    </row>
    <row r="1906" spans="1:10" x14ac:dyDescent="0.25">
      <c r="A1906" s="51"/>
      <c r="B1906" s="83"/>
      <c r="C1906" s="83"/>
      <c r="D1906" s="84" t="s">
        <v>1794</v>
      </c>
      <c r="E1906" s="85">
        <f>40.5</f>
        <v>40.5</v>
      </c>
      <c r="F1906" s="85"/>
      <c r="G1906" s="85"/>
      <c r="H1906" s="85"/>
      <c r="I1906" s="88">
        <v>40.5</v>
      </c>
      <c r="J1906" s="44" t="s">
        <v>27</v>
      </c>
    </row>
    <row r="1907" spans="1:10" x14ac:dyDescent="0.25">
      <c r="A1907" s="51"/>
      <c r="B1907" s="83"/>
      <c r="C1907" s="83"/>
      <c r="D1907" s="84" t="s">
        <v>1793</v>
      </c>
      <c r="E1907" s="85">
        <f>12.92</f>
        <v>12.92</v>
      </c>
      <c r="F1907" s="85"/>
      <c r="G1907" s="85"/>
      <c r="H1907" s="85"/>
      <c r="I1907" s="88">
        <v>12.92</v>
      </c>
      <c r="J1907" s="44" t="s">
        <v>27</v>
      </c>
    </row>
    <row r="1908" spans="1:10" x14ac:dyDescent="0.25">
      <c r="A1908" s="51"/>
      <c r="B1908" s="83"/>
      <c r="C1908" s="83"/>
      <c r="D1908" s="84" t="s">
        <v>1791</v>
      </c>
      <c r="E1908" s="85">
        <f>23.96</f>
        <v>23.96</v>
      </c>
      <c r="F1908" s="85"/>
      <c r="G1908" s="85"/>
      <c r="H1908" s="85"/>
      <c r="I1908" s="88">
        <v>23.96</v>
      </c>
      <c r="J1908" s="44" t="s">
        <v>27</v>
      </c>
    </row>
    <row r="1909" spans="1:10" x14ac:dyDescent="0.25">
      <c r="A1909" s="51"/>
      <c r="B1909" s="83"/>
      <c r="C1909" s="83"/>
      <c r="D1909" s="84" t="s">
        <v>1795</v>
      </c>
      <c r="E1909" s="85">
        <f>34.71</f>
        <v>34.71</v>
      </c>
      <c r="F1909" s="85"/>
      <c r="G1909" s="85"/>
      <c r="H1909" s="85"/>
      <c r="I1909" s="88">
        <v>34.71</v>
      </c>
      <c r="J1909" s="44" t="s">
        <v>27</v>
      </c>
    </row>
    <row r="1910" spans="1:10" x14ac:dyDescent="0.25">
      <c r="A1910" s="51"/>
      <c r="B1910" s="83"/>
      <c r="C1910" s="83"/>
      <c r="D1910" s="84" t="s">
        <v>1792</v>
      </c>
      <c r="E1910" s="85">
        <f>24.3</f>
        <v>24.3</v>
      </c>
      <c r="F1910" s="85"/>
      <c r="G1910" s="85"/>
      <c r="H1910" s="85"/>
      <c r="I1910" s="88">
        <v>24.3</v>
      </c>
      <c r="J1910" s="44" t="s">
        <v>27</v>
      </c>
    </row>
    <row r="1911" spans="1:10" ht="26.4" x14ac:dyDescent="0.25">
      <c r="A1911" s="39" t="s">
        <v>1798</v>
      </c>
      <c r="B1911" s="16" t="s">
        <v>819</v>
      </c>
      <c r="C1911" s="16" t="s">
        <v>21</v>
      </c>
      <c r="D1911" s="17" t="s">
        <v>820</v>
      </c>
      <c r="E1911" s="16" t="s">
        <v>23</v>
      </c>
      <c r="F1911" s="27">
        <v>136.38999999999999</v>
      </c>
      <c r="G1911" s="67">
        <v>13.25</v>
      </c>
      <c r="H1911" s="67">
        <v>15.97</v>
      </c>
      <c r="I1911" s="18">
        <v>2178.14</v>
      </c>
      <c r="J1911" s="40">
        <v>1.244429857479753E-4</v>
      </c>
    </row>
    <row r="1912" spans="1:10" x14ac:dyDescent="0.25">
      <c r="A1912" s="43" t="s">
        <v>24</v>
      </c>
      <c r="B1912" s="83"/>
      <c r="C1912" s="83"/>
      <c r="D1912" s="84" t="s">
        <v>3</v>
      </c>
      <c r="E1912" s="85" t="s">
        <v>25</v>
      </c>
      <c r="F1912" s="85"/>
      <c r="G1912" s="85"/>
      <c r="H1912" s="86"/>
      <c r="I1912" s="87" t="s">
        <v>1911</v>
      </c>
      <c r="J1912" s="44"/>
    </row>
    <row r="1913" spans="1:10" x14ac:dyDescent="0.25">
      <c r="A1913" s="51"/>
      <c r="B1913" s="83"/>
      <c r="C1913" s="83"/>
      <c r="D1913" s="84" t="s">
        <v>1792</v>
      </c>
      <c r="E1913" s="85">
        <f>24.3</f>
        <v>24.3</v>
      </c>
      <c r="F1913" s="85"/>
      <c r="G1913" s="85"/>
      <c r="H1913" s="85"/>
      <c r="I1913" s="88">
        <v>24.3</v>
      </c>
      <c r="J1913" s="44" t="s">
        <v>27</v>
      </c>
    </row>
    <row r="1914" spans="1:10" x14ac:dyDescent="0.25">
      <c r="A1914" s="51"/>
      <c r="B1914" s="83"/>
      <c r="C1914" s="83"/>
      <c r="D1914" s="84" t="s">
        <v>1793</v>
      </c>
      <c r="E1914" s="85">
        <f>12.92</f>
        <v>12.92</v>
      </c>
      <c r="F1914" s="85"/>
      <c r="G1914" s="85"/>
      <c r="H1914" s="85"/>
      <c r="I1914" s="88">
        <v>12.92</v>
      </c>
      <c r="J1914" s="44" t="s">
        <v>27</v>
      </c>
    </row>
    <row r="1915" spans="1:10" x14ac:dyDescent="0.25">
      <c r="A1915" s="51"/>
      <c r="B1915" s="83"/>
      <c r="C1915" s="83"/>
      <c r="D1915" s="84" t="s">
        <v>1794</v>
      </c>
      <c r="E1915" s="85">
        <f>40.5</f>
        <v>40.5</v>
      </c>
      <c r="F1915" s="85"/>
      <c r="G1915" s="85"/>
      <c r="H1915" s="85"/>
      <c r="I1915" s="88">
        <v>40.5</v>
      </c>
      <c r="J1915" s="44" t="s">
        <v>27</v>
      </c>
    </row>
    <row r="1916" spans="1:10" x14ac:dyDescent="0.25">
      <c r="A1916" s="51"/>
      <c r="B1916" s="83"/>
      <c r="C1916" s="83"/>
      <c r="D1916" s="84" t="s">
        <v>1791</v>
      </c>
      <c r="E1916" s="85">
        <f>23.96</f>
        <v>23.96</v>
      </c>
      <c r="F1916" s="85"/>
      <c r="G1916" s="85"/>
      <c r="H1916" s="85"/>
      <c r="I1916" s="88">
        <v>23.96</v>
      </c>
      <c r="J1916" s="44" t="s">
        <v>27</v>
      </c>
    </row>
    <row r="1917" spans="1:10" x14ac:dyDescent="0.25">
      <c r="A1917" s="51"/>
      <c r="B1917" s="83"/>
      <c r="C1917" s="83"/>
      <c r="D1917" s="84" t="s">
        <v>1795</v>
      </c>
      <c r="E1917" s="85">
        <f>34.71</f>
        <v>34.71</v>
      </c>
      <c r="F1917" s="85"/>
      <c r="G1917" s="85"/>
      <c r="H1917" s="85"/>
      <c r="I1917" s="88">
        <v>34.71</v>
      </c>
      <c r="J1917" s="44" t="s">
        <v>27</v>
      </c>
    </row>
    <row r="1918" spans="1:10" x14ac:dyDescent="0.25">
      <c r="A1918" s="41" t="s">
        <v>1799</v>
      </c>
      <c r="B1918" s="13"/>
      <c r="C1918" s="13"/>
      <c r="D1918" s="14" t="s">
        <v>1800</v>
      </c>
      <c r="E1918" s="14"/>
      <c r="F1918" s="26">
        <v>1</v>
      </c>
      <c r="G1918" s="66"/>
      <c r="H1918" s="66"/>
      <c r="I1918" s="15">
        <v>48578.27</v>
      </c>
      <c r="J1918" s="42">
        <v>2.775406980851229E-3</v>
      </c>
    </row>
    <row r="1919" spans="1:10" x14ac:dyDescent="0.25">
      <c r="A1919" s="39" t="s">
        <v>1801</v>
      </c>
      <c r="B1919" s="16" t="s">
        <v>1802</v>
      </c>
      <c r="C1919" s="16" t="s">
        <v>582</v>
      </c>
      <c r="D1919" s="17" t="s">
        <v>1803</v>
      </c>
      <c r="E1919" s="16" t="s">
        <v>588</v>
      </c>
      <c r="F1919" s="27">
        <v>1</v>
      </c>
      <c r="G1919" s="67">
        <v>20008.78</v>
      </c>
      <c r="H1919" s="67">
        <v>24130.58</v>
      </c>
      <c r="I1919" s="18">
        <v>24130.58</v>
      </c>
      <c r="J1919" s="40">
        <v>1.3786448176106116E-3</v>
      </c>
    </row>
    <row r="1920" spans="1:10" x14ac:dyDescent="0.25">
      <c r="A1920" s="43" t="s">
        <v>24</v>
      </c>
      <c r="B1920" s="83"/>
      <c r="C1920" s="83"/>
      <c r="D1920" s="84" t="s">
        <v>3</v>
      </c>
      <c r="E1920" s="85" t="s">
        <v>25</v>
      </c>
      <c r="F1920" s="85"/>
      <c r="G1920" s="85"/>
      <c r="H1920" s="86"/>
      <c r="I1920" s="87" t="s">
        <v>1911</v>
      </c>
      <c r="J1920" s="44"/>
    </row>
    <row r="1921" spans="1:10" ht="26.4" x14ac:dyDescent="0.25">
      <c r="A1921" s="51"/>
      <c r="B1921" s="83"/>
      <c r="C1921" s="83"/>
      <c r="D1921" s="84" t="s">
        <v>1804</v>
      </c>
      <c r="E1921" s="85">
        <f>1</f>
        <v>1</v>
      </c>
      <c r="F1921" s="85"/>
      <c r="G1921" s="85"/>
      <c r="H1921" s="85"/>
      <c r="I1921" s="88">
        <v>1</v>
      </c>
      <c r="J1921" s="44" t="s">
        <v>27</v>
      </c>
    </row>
    <row r="1922" spans="1:10" ht="39.6" x14ac:dyDescent="0.25">
      <c r="A1922" s="39" t="s">
        <v>1805</v>
      </c>
      <c r="B1922" s="16" t="s">
        <v>1806</v>
      </c>
      <c r="C1922" s="16" t="s">
        <v>56</v>
      </c>
      <c r="D1922" s="17" t="s">
        <v>1807</v>
      </c>
      <c r="E1922" s="16" t="s">
        <v>1083</v>
      </c>
      <c r="F1922" s="27">
        <v>1</v>
      </c>
      <c r="G1922" s="67">
        <v>8440.4599999999991</v>
      </c>
      <c r="H1922" s="67">
        <v>10179.19</v>
      </c>
      <c r="I1922" s="18">
        <v>10179.19</v>
      </c>
      <c r="J1922" s="40">
        <v>5.8156445228310974E-4</v>
      </c>
    </row>
    <row r="1923" spans="1:10" x14ac:dyDescent="0.25">
      <c r="A1923" s="43" t="s">
        <v>24</v>
      </c>
      <c r="B1923" s="83"/>
      <c r="C1923" s="83"/>
      <c r="D1923" s="84" t="s">
        <v>3</v>
      </c>
      <c r="E1923" s="85" t="s">
        <v>25</v>
      </c>
      <c r="F1923" s="85"/>
      <c r="G1923" s="85"/>
      <c r="H1923" s="86"/>
      <c r="I1923" s="87" t="s">
        <v>1911</v>
      </c>
      <c r="J1923" s="44"/>
    </row>
    <row r="1924" spans="1:10" ht="26.4" x14ac:dyDescent="0.25">
      <c r="A1924" s="51"/>
      <c r="B1924" s="83"/>
      <c r="C1924" s="83"/>
      <c r="D1924" s="84" t="s">
        <v>1804</v>
      </c>
      <c r="E1924" s="85">
        <f>1</f>
        <v>1</v>
      </c>
      <c r="F1924" s="85"/>
      <c r="G1924" s="85"/>
      <c r="H1924" s="85"/>
      <c r="I1924" s="88">
        <v>1</v>
      </c>
      <c r="J1924" s="44" t="s">
        <v>27</v>
      </c>
    </row>
    <row r="1925" spans="1:10" x14ac:dyDescent="0.25">
      <c r="A1925" s="39" t="s">
        <v>1808</v>
      </c>
      <c r="B1925" s="16" t="s">
        <v>1809</v>
      </c>
      <c r="C1925" s="16" t="s">
        <v>582</v>
      </c>
      <c r="D1925" s="17" t="s">
        <v>1810</v>
      </c>
      <c r="E1925" s="16" t="s">
        <v>588</v>
      </c>
      <c r="F1925" s="27">
        <v>2</v>
      </c>
      <c r="G1925" s="67">
        <v>3484.76</v>
      </c>
      <c r="H1925" s="67">
        <v>4202.62</v>
      </c>
      <c r="I1925" s="18">
        <v>8405.24</v>
      </c>
      <c r="J1925" s="40">
        <v>4.8021392634463891E-4</v>
      </c>
    </row>
    <row r="1926" spans="1:10" x14ac:dyDescent="0.25">
      <c r="A1926" s="43" t="s">
        <v>24</v>
      </c>
      <c r="B1926" s="83"/>
      <c r="C1926" s="83"/>
      <c r="D1926" s="84" t="s">
        <v>3</v>
      </c>
      <c r="E1926" s="85" t="s">
        <v>25</v>
      </c>
      <c r="F1926" s="85"/>
      <c r="G1926" s="85"/>
      <c r="H1926" s="86"/>
      <c r="I1926" s="87" t="s">
        <v>1911</v>
      </c>
      <c r="J1926" s="44"/>
    </row>
    <row r="1927" spans="1:10" ht="26.4" x14ac:dyDescent="0.25">
      <c r="A1927" s="51"/>
      <c r="B1927" s="83"/>
      <c r="C1927" s="83"/>
      <c r="D1927" s="84" t="s">
        <v>1804</v>
      </c>
      <c r="E1927" s="85">
        <f>2</f>
        <v>2</v>
      </c>
      <c r="F1927" s="85"/>
      <c r="G1927" s="85"/>
      <c r="H1927" s="85"/>
      <c r="I1927" s="88">
        <v>2</v>
      </c>
      <c r="J1927" s="44" t="s">
        <v>27</v>
      </c>
    </row>
    <row r="1928" spans="1:10" x14ac:dyDescent="0.25">
      <c r="A1928" s="39" t="s">
        <v>1811</v>
      </c>
      <c r="B1928" s="16" t="s">
        <v>1812</v>
      </c>
      <c r="C1928" s="16" t="s">
        <v>582</v>
      </c>
      <c r="D1928" s="17" t="s">
        <v>1813</v>
      </c>
      <c r="E1928" s="16" t="s">
        <v>588</v>
      </c>
      <c r="F1928" s="27">
        <v>1</v>
      </c>
      <c r="G1928" s="67">
        <v>957.6</v>
      </c>
      <c r="H1928" s="67">
        <v>1154.8599999999999</v>
      </c>
      <c r="I1928" s="18">
        <v>1154.8599999999999</v>
      </c>
      <c r="J1928" s="40">
        <v>6.5980252197244779E-5</v>
      </c>
    </row>
    <row r="1929" spans="1:10" x14ac:dyDescent="0.25">
      <c r="A1929" s="43" t="s">
        <v>24</v>
      </c>
      <c r="B1929" s="83"/>
      <c r="C1929" s="83"/>
      <c r="D1929" s="84" t="s">
        <v>3</v>
      </c>
      <c r="E1929" s="85" t="s">
        <v>25</v>
      </c>
      <c r="F1929" s="85"/>
      <c r="G1929" s="85"/>
      <c r="H1929" s="86"/>
      <c r="I1929" s="87" t="s">
        <v>1911</v>
      </c>
      <c r="J1929" s="44"/>
    </row>
    <row r="1930" spans="1:10" ht="26.4" x14ac:dyDescent="0.25">
      <c r="A1930" s="51"/>
      <c r="B1930" s="83"/>
      <c r="C1930" s="83"/>
      <c r="D1930" s="84" t="s">
        <v>1804</v>
      </c>
      <c r="E1930" s="85">
        <f>1</f>
        <v>1</v>
      </c>
      <c r="F1930" s="85"/>
      <c r="G1930" s="85"/>
      <c r="H1930" s="85"/>
      <c r="I1930" s="88">
        <v>1</v>
      </c>
      <c r="J1930" s="44" t="s">
        <v>27</v>
      </c>
    </row>
    <row r="1931" spans="1:10" x14ac:dyDescent="0.25">
      <c r="A1931" s="39" t="s">
        <v>1814</v>
      </c>
      <c r="B1931" s="16" t="s">
        <v>1815</v>
      </c>
      <c r="C1931" s="16" t="s">
        <v>582</v>
      </c>
      <c r="D1931" s="17" t="s">
        <v>1816</v>
      </c>
      <c r="E1931" s="16" t="s">
        <v>23</v>
      </c>
      <c r="F1931" s="27">
        <v>1</v>
      </c>
      <c r="G1931" s="67">
        <v>759.11</v>
      </c>
      <c r="H1931" s="67">
        <v>915.48</v>
      </c>
      <c r="I1931" s="18">
        <v>915.48</v>
      </c>
      <c r="J1931" s="40">
        <v>5.2303830145241547E-5</v>
      </c>
    </row>
    <row r="1932" spans="1:10" x14ac:dyDescent="0.25">
      <c r="A1932" s="43" t="s">
        <v>24</v>
      </c>
      <c r="B1932" s="83"/>
      <c r="C1932" s="83"/>
      <c r="D1932" s="84" t="s">
        <v>3</v>
      </c>
      <c r="E1932" s="85" t="s">
        <v>25</v>
      </c>
      <c r="F1932" s="85"/>
      <c r="G1932" s="85"/>
      <c r="H1932" s="86"/>
      <c r="I1932" s="87" t="s">
        <v>1911</v>
      </c>
      <c r="J1932" s="44"/>
    </row>
    <row r="1933" spans="1:10" ht="26.4" x14ac:dyDescent="0.25">
      <c r="A1933" s="51"/>
      <c r="B1933" s="83"/>
      <c r="C1933" s="83"/>
      <c r="D1933" s="84" t="s">
        <v>1804</v>
      </c>
      <c r="E1933" s="85">
        <f>1</f>
        <v>1</v>
      </c>
      <c r="F1933" s="85"/>
      <c r="G1933" s="85"/>
      <c r="H1933" s="85"/>
      <c r="I1933" s="88">
        <v>1</v>
      </c>
      <c r="J1933" s="44" t="s">
        <v>27</v>
      </c>
    </row>
    <row r="1934" spans="1:10" x14ac:dyDescent="0.25">
      <c r="A1934" s="39" t="s">
        <v>1817</v>
      </c>
      <c r="B1934" s="16" t="s">
        <v>1818</v>
      </c>
      <c r="C1934" s="16" t="s">
        <v>582</v>
      </c>
      <c r="D1934" s="17" t="s">
        <v>1819</v>
      </c>
      <c r="E1934" s="16" t="s">
        <v>588</v>
      </c>
      <c r="F1934" s="27">
        <v>1</v>
      </c>
      <c r="G1934" s="67">
        <v>826.39</v>
      </c>
      <c r="H1934" s="67">
        <v>996.62</v>
      </c>
      <c r="I1934" s="18">
        <v>996.62</v>
      </c>
      <c r="J1934" s="40">
        <v>5.6939576177907358E-5</v>
      </c>
    </row>
    <row r="1935" spans="1:10" x14ac:dyDescent="0.25">
      <c r="A1935" s="43" t="s">
        <v>24</v>
      </c>
      <c r="B1935" s="83"/>
      <c r="C1935" s="83"/>
      <c r="D1935" s="84" t="s">
        <v>3</v>
      </c>
      <c r="E1935" s="85" t="s">
        <v>25</v>
      </c>
      <c r="F1935" s="85"/>
      <c r="G1935" s="85"/>
      <c r="H1935" s="86"/>
      <c r="I1935" s="87" t="s">
        <v>1911</v>
      </c>
      <c r="J1935" s="44"/>
    </row>
    <row r="1936" spans="1:10" ht="26.4" x14ac:dyDescent="0.25">
      <c r="A1936" s="51"/>
      <c r="B1936" s="83"/>
      <c r="C1936" s="83"/>
      <c r="D1936" s="84" t="s">
        <v>1804</v>
      </c>
      <c r="E1936" s="85">
        <f>1</f>
        <v>1</v>
      </c>
      <c r="F1936" s="85"/>
      <c r="G1936" s="85"/>
      <c r="H1936" s="85"/>
      <c r="I1936" s="88">
        <v>1</v>
      </c>
      <c r="J1936" s="44" t="s">
        <v>27</v>
      </c>
    </row>
    <row r="1937" spans="1:10" x14ac:dyDescent="0.25">
      <c r="A1937" s="39" t="s">
        <v>1820</v>
      </c>
      <c r="B1937" s="16" t="s">
        <v>1821</v>
      </c>
      <c r="C1937" s="16" t="s">
        <v>582</v>
      </c>
      <c r="D1937" s="17" t="s">
        <v>1822</v>
      </c>
      <c r="E1937" s="16" t="s">
        <v>23</v>
      </c>
      <c r="F1937" s="27">
        <v>6</v>
      </c>
      <c r="G1937" s="67">
        <v>386.45</v>
      </c>
      <c r="H1937" s="67">
        <v>466.05</v>
      </c>
      <c r="I1937" s="18">
        <v>2796.3</v>
      </c>
      <c r="J1937" s="40">
        <v>1.5976012609247492E-4</v>
      </c>
    </row>
    <row r="1938" spans="1:10" x14ac:dyDescent="0.25">
      <c r="A1938" s="43" t="s">
        <v>24</v>
      </c>
      <c r="B1938" s="83"/>
      <c r="C1938" s="83"/>
      <c r="D1938" s="84" t="s">
        <v>3</v>
      </c>
      <c r="E1938" s="85" t="s">
        <v>25</v>
      </c>
      <c r="F1938" s="85"/>
      <c r="G1938" s="85"/>
      <c r="H1938" s="86"/>
      <c r="I1938" s="87" t="s">
        <v>1911</v>
      </c>
      <c r="J1938" s="44"/>
    </row>
    <row r="1939" spans="1:10" ht="26.4" x14ac:dyDescent="0.25">
      <c r="A1939" s="51"/>
      <c r="B1939" s="83"/>
      <c r="C1939" s="83"/>
      <c r="D1939" s="84" t="s">
        <v>1804</v>
      </c>
      <c r="E1939" s="85">
        <f>6</f>
        <v>6</v>
      </c>
      <c r="F1939" s="85"/>
      <c r="G1939" s="85"/>
      <c r="H1939" s="85"/>
      <c r="I1939" s="88">
        <v>6</v>
      </c>
      <c r="J1939" s="44" t="s">
        <v>27</v>
      </c>
    </row>
    <row r="1940" spans="1:10" x14ac:dyDescent="0.25">
      <c r="A1940" s="41" t="s">
        <v>1823</v>
      </c>
      <c r="B1940" s="13"/>
      <c r="C1940" s="13"/>
      <c r="D1940" s="14" t="s">
        <v>1824</v>
      </c>
      <c r="E1940" s="14"/>
      <c r="F1940" s="26">
        <v>1</v>
      </c>
      <c r="G1940" s="66"/>
      <c r="H1940" s="66"/>
      <c r="I1940" s="15">
        <v>93011.8</v>
      </c>
      <c r="J1940" s="42">
        <v>5.3140138383177982E-3</v>
      </c>
    </row>
    <row r="1941" spans="1:10" x14ac:dyDescent="0.25">
      <c r="A1941" s="39" t="s">
        <v>1825</v>
      </c>
      <c r="B1941" s="16" t="s">
        <v>1826</v>
      </c>
      <c r="C1941" s="16" t="s">
        <v>21</v>
      </c>
      <c r="D1941" s="17" t="s">
        <v>1827</v>
      </c>
      <c r="E1941" s="16" t="s">
        <v>23</v>
      </c>
      <c r="F1941" s="27">
        <v>137.91</v>
      </c>
      <c r="G1941" s="67">
        <v>105.38</v>
      </c>
      <c r="H1941" s="67">
        <v>127.08</v>
      </c>
      <c r="I1941" s="18">
        <v>17525.599999999999</v>
      </c>
      <c r="J1941" s="40">
        <v>1.0012845781376385E-3</v>
      </c>
    </row>
    <row r="1942" spans="1:10" x14ac:dyDescent="0.25">
      <c r="A1942" s="43" t="s">
        <v>24</v>
      </c>
      <c r="B1942" s="83"/>
      <c r="C1942" s="83"/>
      <c r="D1942" s="84" t="s">
        <v>3</v>
      </c>
      <c r="E1942" s="85" t="s">
        <v>25</v>
      </c>
      <c r="F1942" s="85"/>
      <c r="G1942" s="85"/>
      <c r="H1942" s="86"/>
      <c r="I1942" s="87" t="s">
        <v>1911</v>
      </c>
      <c r="J1942" s="44"/>
    </row>
    <row r="1943" spans="1:10" x14ac:dyDescent="0.25">
      <c r="A1943" s="51"/>
      <c r="B1943" s="83"/>
      <c r="C1943" s="83"/>
      <c r="D1943" s="84" t="s">
        <v>1828</v>
      </c>
      <c r="E1943" s="85">
        <f>8.8</f>
        <v>8.8000000000000007</v>
      </c>
      <c r="F1943" s="85"/>
      <c r="G1943" s="85"/>
      <c r="H1943" s="85"/>
      <c r="I1943" s="88">
        <v>8.8000000000000007</v>
      </c>
      <c r="J1943" s="44" t="s">
        <v>27</v>
      </c>
    </row>
    <row r="1944" spans="1:10" x14ac:dyDescent="0.25">
      <c r="A1944" s="51"/>
      <c r="B1944" s="83"/>
      <c r="C1944" s="83"/>
      <c r="D1944" s="84" t="s">
        <v>1829</v>
      </c>
      <c r="E1944" s="85">
        <f>56.51</f>
        <v>56.51</v>
      </c>
      <c r="F1944" s="85"/>
      <c r="G1944" s="85"/>
      <c r="H1944" s="85"/>
      <c r="I1944" s="88">
        <v>56.51</v>
      </c>
      <c r="J1944" s="44" t="s">
        <v>27</v>
      </c>
    </row>
    <row r="1945" spans="1:10" x14ac:dyDescent="0.25">
      <c r="A1945" s="51"/>
      <c r="B1945" s="83"/>
      <c r="C1945" s="83"/>
      <c r="D1945" s="84" t="s">
        <v>1830</v>
      </c>
      <c r="E1945" s="85">
        <f>2</f>
        <v>2</v>
      </c>
      <c r="F1945" s="85"/>
      <c r="G1945" s="85"/>
      <c r="H1945" s="85"/>
      <c r="I1945" s="88">
        <v>2</v>
      </c>
      <c r="J1945" s="44" t="s">
        <v>27</v>
      </c>
    </row>
    <row r="1946" spans="1:10" x14ac:dyDescent="0.25">
      <c r="A1946" s="51"/>
      <c r="B1946" s="83"/>
      <c r="C1946" s="83"/>
      <c r="D1946" s="84" t="s">
        <v>1831</v>
      </c>
      <c r="E1946" s="85">
        <f>38.95</f>
        <v>38.950000000000003</v>
      </c>
      <c r="F1946" s="85"/>
      <c r="G1946" s="85"/>
      <c r="H1946" s="85"/>
      <c r="I1946" s="88">
        <v>38.950000000000003</v>
      </c>
      <c r="J1946" s="44" t="s">
        <v>27</v>
      </c>
    </row>
    <row r="1947" spans="1:10" x14ac:dyDescent="0.25">
      <c r="A1947" s="51"/>
      <c r="B1947" s="83"/>
      <c r="C1947" s="83"/>
      <c r="D1947" s="84" t="s">
        <v>1832</v>
      </c>
      <c r="E1947" s="85">
        <f>8.8</f>
        <v>8.8000000000000007</v>
      </c>
      <c r="F1947" s="85"/>
      <c r="G1947" s="85"/>
      <c r="H1947" s="85"/>
      <c r="I1947" s="88">
        <v>8.8000000000000007</v>
      </c>
      <c r="J1947" s="44" t="s">
        <v>27</v>
      </c>
    </row>
    <row r="1948" spans="1:10" x14ac:dyDescent="0.25">
      <c r="A1948" s="51"/>
      <c r="B1948" s="83"/>
      <c r="C1948" s="83"/>
      <c r="D1948" s="84" t="s">
        <v>1833</v>
      </c>
      <c r="E1948" s="85">
        <f>22.85</f>
        <v>22.85</v>
      </c>
      <c r="F1948" s="85"/>
      <c r="G1948" s="85"/>
      <c r="H1948" s="85"/>
      <c r="I1948" s="88">
        <v>22.85</v>
      </c>
      <c r="J1948" s="44" t="s">
        <v>27</v>
      </c>
    </row>
    <row r="1949" spans="1:10" ht="26.4" x14ac:dyDescent="0.25">
      <c r="A1949" s="39" t="s">
        <v>1834</v>
      </c>
      <c r="B1949" s="16" t="s">
        <v>1835</v>
      </c>
      <c r="C1949" s="16" t="s">
        <v>21</v>
      </c>
      <c r="D1949" s="17" t="s">
        <v>1836</v>
      </c>
      <c r="E1949" s="16" t="s">
        <v>588</v>
      </c>
      <c r="F1949" s="27">
        <v>8</v>
      </c>
      <c r="G1949" s="67">
        <v>103.64</v>
      </c>
      <c r="H1949" s="67">
        <v>124.98</v>
      </c>
      <c r="I1949" s="18">
        <v>999.84</v>
      </c>
      <c r="J1949" s="40">
        <v>5.7123543422486902E-5</v>
      </c>
    </row>
    <row r="1950" spans="1:10" x14ac:dyDescent="0.25">
      <c r="A1950" s="43" t="s">
        <v>24</v>
      </c>
      <c r="B1950" s="83"/>
      <c r="C1950" s="83"/>
      <c r="D1950" s="84" t="s">
        <v>3</v>
      </c>
      <c r="E1950" s="85" t="s">
        <v>25</v>
      </c>
      <c r="F1950" s="85"/>
      <c r="G1950" s="85"/>
      <c r="H1950" s="86"/>
      <c r="I1950" s="87" t="s">
        <v>1911</v>
      </c>
      <c r="J1950" s="44"/>
    </row>
    <row r="1951" spans="1:10" x14ac:dyDescent="0.25">
      <c r="A1951" s="51"/>
      <c r="B1951" s="83"/>
      <c r="C1951" s="83"/>
      <c r="D1951" s="84" t="s">
        <v>1837</v>
      </c>
      <c r="E1951" s="85">
        <f>5</f>
        <v>5</v>
      </c>
      <c r="F1951" s="85"/>
      <c r="G1951" s="85"/>
      <c r="H1951" s="85"/>
      <c r="I1951" s="88">
        <v>5</v>
      </c>
      <c r="J1951" s="44" t="s">
        <v>27</v>
      </c>
    </row>
    <row r="1952" spans="1:10" x14ac:dyDescent="0.25">
      <c r="A1952" s="51"/>
      <c r="B1952" s="83"/>
      <c r="C1952" s="83"/>
      <c r="D1952" s="84" t="s">
        <v>1838</v>
      </c>
      <c r="E1952" s="85">
        <f>3</f>
        <v>3</v>
      </c>
      <c r="F1952" s="85"/>
      <c r="G1952" s="85"/>
      <c r="H1952" s="85"/>
      <c r="I1952" s="88">
        <v>3</v>
      </c>
      <c r="J1952" s="44" t="s">
        <v>27</v>
      </c>
    </row>
    <row r="1953" spans="1:10" x14ac:dyDescent="0.25">
      <c r="A1953" s="39" t="s">
        <v>1839</v>
      </c>
      <c r="B1953" s="16" t="s">
        <v>1840</v>
      </c>
      <c r="C1953" s="16" t="s">
        <v>21</v>
      </c>
      <c r="D1953" s="17" t="s">
        <v>1841</v>
      </c>
      <c r="E1953" s="16" t="s">
        <v>588</v>
      </c>
      <c r="F1953" s="27">
        <v>454</v>
      </c>
      <c r="G1953" s="67">
        <v>73.86</v>
      </c>
      <c r="H1953" s="67">
        <v>89.07</v>
      </c>
      <c r="I1953" s="18">
        <v>40437.78</v>
      </c>
      <c r="J1953" s="40">
        <v>2.3103189327682151E-3</v>
      </c>
    </row>
    <row r="1954" spans="1:10" x14ac:dyDescent="0.25">
      <c r="A1954" s="43" t="s">
        <v>24</v>
      </c>
      <c r="B1954" s="83"/>
      <c r="C1954" s="83"/>
      <c r="D1954" s="84" t="s">
        <v>3</v>
      </c>
      <c r="E1954" s="85" t="s">
        <v>25</v>
      </c>
      <c r="F1954" s="85"/>
      <c r="G1954" s="85"/>
      <c r="H1954" s="86"/>
      <c r="I1954" s="87" t="s">
        <v>1911</v>
      </c>
      <c r="J1954" s="44"/>
    </row>
    <row r="1955" spans="1:10" x14ac:dyDescent="0.25">
      <c r="A1955" s="51"/>
      <c r="B1955" s="83"/>
      <c r="C1955" s="83"/>
      <c r="D1955" s="84" t="s">
        <v>1842</v>
      </c>
      <c r="E1955" s="85">
        <f>125</f>
        <v>125</v>
      </c>
      <c r="F1955" s="85"/>
      <c r="G1955" s="85"/>
      <c r="H1955" s="85"/>
      <c r="I1955" s="88">
        <v>125</v>
      </c>
      <c r="J1955" s="44" t="s">
        <v>27</v>
      </c>
    </row>
    <row r="1956" spans="1:10" x14ac:dyDescent="0.25">
      <c r="A1956" s="51"/>
      <c r="B1956" s="83"/>
      <c r="C1956" s="83"/>
      <c r="D1956" s="84" t="s">
        <v>1843</v>
      </c>
      <c r="E1956" s="85">
        <f>122</f>
        <v>122</v>
      </c>
      <c r="F1956" s="85"/>
      <c r="G1956" s="85"/>
      <c r="H1956" s="85"/>
      <c r="I1956" s="88">
        <v>122</v>
      </c>
      <c r="J1956" s="44" t="s">
        <v>27</v>
      </c>
    </row>
    <row r="1957" spans="1:10" x14ac:dyDescent="0.25">
      <c r="A1957" s="51"/>
      <c r="B1957" s="83"/>
      <c r="C1957" s="83"/>
      <c r="D1957" s="84" t="s">
        <v>1844</v>
      </c>
      <c r="E1957" s="85">
        <f>207</f>
        <v>207</v>
      </c>
      <c r="F1957" s="85"/>
      <c r="G1957" s="85"/>
      <c r="H1957" s="85"/>
      <c r="I1957" s="88">
        <v>207</v>
      </c>
      <c r="J1957" s="44" t="s">
        <v>27</v>
      </c>
    </row>
    <row r="1958" spans="1:10" ht="26.4" x14ac:dyDescent="0.25">
      <c r="A1958" s="39" t="s">
        <v>1845</v>
      </c>
      <c r="B1958" s="16" t="s">
        <v>1846</v>
      </c>
      <c r="C1958" s="16" t="s">
        <v>21</v>
      </c>
      <c r="D1958" s="17" t="s">
        <v>1847</v>
      </c>
      <c r="E1958" s="16" t="s">
        <v>588</v>
      </c>
      <c r="F1958" s="27">
        <v>26</v>
      </c>
      <c r="G1958" s="67">
        <v>201.31</v>
      </c>
      <c r="H1958" s="67">
        <v>242.77</v>
      </c>
      <c r="I1958" s="18">
        <v>6312.02</v>
      </c>
      <c r="J1958" s="40">
        <v>3.6062264817731413E-4</v>
      </c>
    </row>
    <row r="1959" spans="1:10" x14ac:dyDescent="0.25">
      <c r="A1959" s="43" t="s">
        <v>24</v>
      </c>
      <c r="B1959" s="83"/>
      <c r="C1959" s="83"/>
      <c r="D1959" s="84" t="s">
        <v>3</v>
      </c>
      <c r="E1959" s="85" t="s">
        <v>25</v>
      </c>
      <c r="F1959" s="85"/>
      <c r="G1959" s="85"/>
      <c r="H1959" s="86"/>
      <c r="I1959" s="87" t="s">
        <v>1911</v>
      </c>
      <c r="J1959" s="44"/>
    </row>
    <row r="1960" spans="1:10" x14ac:dyDescent="0.25">
      <c r="A1960" s="51"/>
      <c r="B1960" s="83"/>
      <c r="C1960" s="83"/>
      <c r="D1960" s="84" t="s">
        <v>1848</v>
      </c>
      <c r="E1960" s="85">
        <f>7</f>
        <v>7</v>
      </c>
      <c r="F1960" s="85"/>
      <c r="G1960" s="85"/>
      <c r="H1960" s="85"/>
      <c r="I1960" s="88">
        <v>7</v>
      </c>
      <c r="J1960" s="44" t="s">
        <v>27</v>
      </c>
    </row>
    <row r="1961" spans="1:10" x14ac:dyDescent="0.25">
      <c r="A1961" s="51"/>
      <c r="B1961" s="83"/>
      <c r="C1961" s="83"/>
      <c r="D1961" s="84" t="s">
        <v>1849</v>
      </c>
      <c r="E1961" s="85">
        <f>2</f>
        <v>2</v>
      </c>
      <c r="F1961" s="85"/>
      <c r="G1961" s="85"/>
      <c r="H1961" s="85"/>
      <c r="I1961" s="88">
        <v>2</v>
      </c>
      <c r="J1961" s="44" t="s">
        <v>27</v>
      </c>
    </row>
    <row r="1962" spans="1:10" x14ac:dyDescent="0.25">
      <c r="A1962" s="51"/>
      <c r="B1962" s="83"/>
      <c r="C1962" s="83"/>
      <c r="D1962" s="84" t="s">
        <v>1850</v>
      </c>
      <c r="E1962" s="85">
        <f>9</f>
        <v>9</v>
      </c>
      <c r="F1962" s="85"/>
      <c r="G1962" s="85"/>
      <c r="H1962" s="85"/>
      <c r="I1962" s="88">
        <v>9</v>
      </c>
      <c r="J1962" s="44" t="s">
        <v>27</v>
      </c>
    </row>
    <row r="1963" spans="1:10" x14ac:dyDescent="0.25">
      <c r="A1963" s="51"/>
      <c r="B1963" s="83"/>
      <c r="C1963" s="83"/>
      <c r="D1963" s="84" t="s">
        <v>1851</v>
      </c>
      <c r="E1963" s="85">
        <f>2</f>
        <v>2</v>
      </c>
      <c r="F1963" s="85"/>
      <c r="G1963" s="85"/>
      <c r="H1963" s="85"/>
      <c r="I1963" s="88">
        <v>2</v>
      </c>
      <c r="J1963" s="44" t="s">
        <v>27</v>
      </c>
    </row>
    <row r="1964" spans="1:10" x14ac:dyDescent="0.25">
      <c r="A1964" s="51"/>
      <c r="B1964" s="83"/>
      <c r="C1964" s="83"/>
      <c r="D1964" s="84" t="s">
        <v>1852</v>
      </c>
      <c r="E1964" s="85">
        <f>6</f>
        <v>6</v>
      </c>
      <c r="F1964" s="85"/>
      <c r="G1964" s="85"/>
      <c r="H1964" s="85"/>
      <c r="I1964" s="88">
        <v>6</v>
      </c>
      <c r="J1964" s="44" t="s">
        <v>27</v>
      </c>
    </row>
    <row r="1965" spans="1:10" ht="26.4" x14ac:dyDescent="0.25">
      <c r="A1965" s="39" t="s">
        <v>1853</v>
      </c>
      <c r="B1965" s="16" t="s">
        <v>1854</v>
      </c>
      <c r="C1965" s="16" t="s">
        <v>21</v>
      </c>
      <c r="D1965" s="17" t="s">
        <v>1855</v>
      </c>
      <c r="E1965" s="16" t="s">
        <v>588</v>
      </c>
      <c r="F1965" s="27">
        <v>54</v>
      </c>
      <c r="G1965" s="67">
        <v>425.91</v>
      </c>
      <c r="H1965" s="67">
        <v>513.64</v>
      </c>
      <c r="I1965" s="18">
        <v>27736.560000000001</v>
      </c>
      <c r="J1965" s="40">
        <v>1.5846641358121432E-3</v>
      </c>
    </row>
    <row r="1966" spans="1:10" x14ac:dyDescent="0.25">
      <c r="A1966" s="43" t="s">
        <v>24</v>
      </c>
      <c r="B1966" s="83"/>
      <c r="C1966" s="83"/>
      <c r="D1966" s="84" t="s">
        <v>3</v>
      </c>
      <c r="E1966" s="85" t="s">
        <v>25</v>
      </c>
      <c r="F1966" s="85"/>
      <c r="G1966" s="85"/>
      <c r="H1966" s="86"/>
      <c r="I1966" s="87" t="s">
        <v>1911</v>
      </c>
      <c r="J1966" s="44"/>
    </row>
    <row r="1967" spans="1:10" x14ac:dyDescent="0.25">
      <c r="A1967" s="51"/>
      <c r="B1967" s="83"/>
      <c r="C1967" s="83"/>
      <c r="D1967" s="84" t="s">
        <v>1856</v>
      </c>
      <c r="E1967" s="85">
        <f>12</f>
        <v>12</v>
      </c>
      <c r="F1967" s="85"/>
      <c r="G1967" s="85"/>
      <c r="H1967" s="85"/>
      <c r="I1967" s="88">
        <v>12</v>
      </c>
      <c r="J1967" s="44" t="s">
        <v>27</v>
      </c>
    </row>
    <row r="1968" spans="1:10" x14ac:dyDescent="0.25">
      <c r="A1968" s="51"/>
      <c r="B1968" s="83"/>
      <c r="C1968" s="83"/>
      <c r="D1968" s="84" t="s">
        <v>1857</v>
      </c>
      <c r="E1968" s="85">
        <f>4</f>
        <v>4</v>
      </c>
      <c r="F1968" s="85"/>
      <c r="G1968" s="85"/>
      <c r="H1968" s="85"/>
      <c r="I1968" s="88">
        <v>4</v>
      </c>
      <c r="J1968" s="44" t="s">
        <v>27</v>
      </c>
    </row>
    <row r="1969" spans="1:10" x14ac:dyDescent="0.25">
      <c r="A1969" s="51"/>
      <c r="B1969" s="83"/>
      <c r="C1969" s="83"/>
      <c r="D1969" s="84" t="s">
        <v>1858</v>
      </c>
      <c r="E1969" s="85">
        <f>38</f>
        <v>38</v>
      </c>
      <c r="F1969" s="85"/>
      <c r="G1969" s="85"/>
      <c r="H1969" s="85"/>
      <c r="I1969" s="88">
        <v>38</v>
      </c>
      <c r="J1969" s="44" t="s">
        <v>27</v>
      </c>
    </row>
    <row r="1970" spans="1:10" x14ac:dyDescent="0.25">
      <c r="A1970" s="41" t="s">
        <v>1859</v>
      </c>
      <c r="B1970" s="13"/>
      <c r="C1970" s="13"/>
      <c r="D1970" s="14" t="s">
        <v>1860</v>
      </c>
      <c r="E1970" s="14"/>
      <c r="F1970" s="26">
        <v>1</v>
      </c>
      <c r="G1970" s="66"/>
      <c r="H1970" s="66"/>
      <c r="I1970" s="15">
        <v>361369.64</v>
      </c>
      <c r="J1970" s="42">
        <v>2.064601768493805E-2</v>
      </c>
    </row>
    <row r="1971" spans="1:10" ht="26.4" x14ac:dyDescent="0.25">
      <c r="A1971" s="39" t="s">
        <v>1861</v>
      </c>
      <c r="B1971" s="16" t="s">
        <v>1862</v>
      </c>
      <c r="C1971" s="16" t="s">
        <v>56</v>
      </c>
      <c r="D1971" s="17" t="s">
        <v>1863</v>
      </c>
      <c r="E1971" s="16" t="s">
        <v>1083</v>
      </c>
      <c r="F1971" s="27">
        <v>12</v>
      </c>
      <c r="G1971" s="67">
        <v>557.73</v>
      </c>
      <c r="H1971" s="67">
        <v>672.62</v>
      </c>
      <c r="I1971" s="18">
        <v>8071.44</v>
      </c>
      <c r="J1971" s="40">
        <v>4.611430362077909E-4</v>
      </c>
    </row>
    <row r="1972" spans="1:10" x14ac:dyDescent="0.25">
      <c r="A1972" s="43" t="s">
        <v>24</v>
      </c>
      <c r="B1972" s="83"/>
      <c r="C1972" s="83"/>
      <c r="D1972" s="84" t="s">
        <v>3</v>
      </c>
      <c r="E1972" s="85" t="s">
        <v>25</v>
      </c>
      <c r="F1972" s="85"/>
      <c r="G1972" s="85"/>
      <c r="H1972" s="86"/>
      <c r="I1972" s="87" t="s">
        <v>1911</v>
      </c>
      <c r="J1972" s="44"/>
    </row>
    <row r="1973" spans="1:10" x14ac:dyDescent="0.25">
      <c r="A1973" s="51"/>
      <c r="B1973" s="83"/>
      <c r="C1973" s="83"/>
      <c r="D1973" s="84" t="s">
        <v>1864</v>
      </c>
      <c r="E1973" s="85">
        <f>12</f>
        <v>12</v>
      </c>
      <c r="F1973" s="85"/>
      <c r="G1973" s="85"/>
      <c r="H1973" s="85"/>
      <c r="I1973" s="88">
        <v>12</v>
      </c>
      <c r="J1973" s="44" t="s">
        <v>27</v>
      </c>
    </row>
    <row r="1974" spans="1:10" x14ac:dyDescent="0.25">
      <c r="A1974" s="39" t="s">
        <v>1865</v>
      </c>
      <c r="B1974" s="16" t="s">
        <v>1866</v>
      </c>
      <c r="C1974" s="16" t="s">
        <v>14</v>
      </c>
      <c r="D1974" s="17" t="s">
        <v>1867</v>
      </c>
      <c r="E1974" s="16" t="s">
        <v>39</v>
      </c>
      <c r="F1974" s="27">
        <v>1</v>
      </c>
      <c r="G1974" s="67">
        <v>1484.48</v>
      </c>
      <c r="H1974" s="67">
        <v>1790.28</v>
      </c>
      <c r="I1974" s="18">
        <v>1790.28</v>
      </c>
      <c r="J1974" s="40">
        <v>1.0228350267883846E-4</v>
      </c>
    </row>
    <row r="1975" spans="1:10" x14ac:dyDescent="0.25">
      <c r="A1975" s="43" t="s">
        <v>24</v>
      </c>
      <c r="B1975" s="83"/>
      <c r="C1975" s="83"/>
      <c r="D1975" s="84" t="s">
        <v>3</v>
      </c>
      <c r="E1975" s="85" t="s">
        <v>25</v>
      </c>
      <c r="F1975" s="85"/>
      <c r="G1975" s="85"/>
      <c r="H1975" s="86"/>
      <c r="I1975" s="87" t="s">
        <v>1911</v>
      </c>
      <c r="J1975" s="44"/>
    </row>
    <row r="1976" spans="1:10" x14ac:dyDescent="0.25">
      <c r="A1976" s="51"/>
      <c r="B1976" s="83"/>
      <c r="C1976" s="83"/>
      <c r="D1976" s="84" t="s">
        <v>1868</v>
      </c>
      <c r="E1976" s="85">
        <f>1</f>
        <v>1</v>
      </c>
      <c r="F1976" s="85"/>
      <c r="G1976" s="85"/>
      <c r="H1976" s="85"/>
      <c r="I1976" s="88">
        <v>1</v>
      </c>
      <c r="J1976" s="44" t="s">
        <v>27</v>
      </c>
    </row>
    <row r="1977" spans="1:10" ht="39.6" x14ac:dyDescent="0.25">
      <c r="A1977" s="39" t="s">
        <v>1869</v>
      </c>
      <c r="B1977" s="16" t="s">
        <v>1870</v>
      </c>
      <c r="C1977" s="16" t="s">
        <v>56</v>
      </c>
      <c r="D1977" s="17" t="s">
        <v>1871</v>
      </c>
      <c r="E1977" s="16" t="s">
        <v>222</v>
      </c>
      <c r="F1977" s="27">
        <v>105.41</v>
      </c>
      <c r="G1977" s="67">
        <v>739.17</v>
      </c>
      <c r="H1977" s="67">
        <v>891.43</v>
      </c>
      <c r="I1977" s="18">
        <v>93965.63</v>
      </c>
      <c r="J1977" s="40">
        <v>5.368508706919445E-3</v>
      </c>
    </row>
    <row r="1978" spans="1:10" x14ac:dyDescent="0.25">
      <c r="A1978" s="43" t="s">
        <v>24</v>
      </c>
      <c r="B1978" s="83"/>
      <c r="C1978" s="83"/>
      <c r="D1978" s="84" t="s">
        <v>3</v>
      </c>
      <c r="E1978" s="85" t="s">
        <v>25</v>
      </c>
      <c r="F1978" s="85"/>
      <c r="G1978" s="85"/>
      <c r="H1978" s="86"/>
      <c r="I1978" s="87" t="s">
        <v>1911</v>
      </c>
      <c r="J1978" s="44"/>
    </row>
    <row r="1979" spans="1:10" x14ac:dyDescent="0.25">
      <c r="A1979" s="51"/>
      <c r="B1979" s="83"/>
      <c r="C1979" s="83"/>
      <c r="D1979" s="84" t="s">
        <v>1872</v>
      </c>
      <c r="E1979" s="85">
        <f>105.41</f>
        <v>105.41</v>
      </c>
      <c r="F1979" s="85"/>
      <c r="G1979" s="85"/>
      <c r="H1979" s="85"/>
      <c r="I1979" s="88">
        <v>105.41</v>
      </c>
      <c r="J1979" s="44" t="s">
        <v>27</v>
      </c>
    </row>
    <row r="1980" spans="1:10" ht="26.4" x14ac:dyDescent="0.25">
      <c r="A1980" s="39" t="s">
        <v>1873</v>
      </c>
      <c r="B1980" s="16" t="s">
        <v>1874</v>
      </c>
      <c r="C1980" s="16" t="s">
        <v>21</v>
      </c>
      <c r="D1980" s="17" t="s">
        <v>1875</v>
      </c>
      <c r="E1980" s="16" t="s">
        <v>52</v>
      </c>
      <c r="F1980" s="27">
        <v>541.02</v>
      </c>
      <c r="G1980" s="67">
        <v>209.57</v>
      </c>
      <c r="H1980" s="67">
        <v>252.74</v>
      </c>
      <c r="I1980" s="18">
        <v>136737.39000000001</v>
      </c>
      <c r="J1980" s="40">
        <v>7.8121741830118078E-3</v>
      </c>
    </row>
    <row r="1981" spans="1:10" x14ac:dyDescent="0.25">
      <c r="A1981" s="43" t="s">
        <v>24</v>
      </c>
      <c r="B1981" s="83"/>
      <c r="C1981" s="83"/>
      <c r="D1981" s="84" t="s">
        <v>3</v>
      </c>
      <c r="E1981" s="85" t="s">
        <v>25</v>
      </c>
      <c r="F1981" s="85"/>
      <c r="G1981" s="85"/>
      <c r="H1981" s="86"/>
      <c r="I1981" s="87" t="s">
        <v>1911</v>
      </c>
      <c r="J1981" s="44"/>
    </row>
    <row r="1982" spans="1:10" x14ac:dyDescent="0.25">
      <c r="A1982" s="51"/>
      <c r="B1982" s="83"/>
      <c r="C1982" s="83"/>
      <c r="D1982" s="84" t="s">
        <v>1876</v>
      </c>
      <c r="E1982" s="85">
        <f>57.5+88.07</f>
        <v>145.57</v>
      </c>
      <c r="F1982" s="85"/>
      <c r="G1982" s="85"/>
      <c r="H1982" s="85"/>
      <c r="I1982" s="88">
        <v>145.57</v>
      </c>
      <c r="J1982" s="44" t="s">
        <v>27</v>
      </c>
    </row>
    <row r="1983" spans="1:10" x14ac:dyDescent="0.25">
      <c r="A1983" s="51"/>
      <c r="B1983" s="83"/>
      <c r="C1983" s="83"/>
      <c r="D1983" s="84" t="s">
        <v>1877</v>
      </c>
      <c r="E1983" s="85">
        <f>122.55+272.9</f>
        <v>395.45</v>
      </c>
      <c r="F1983" s="85"/>
      <c r="G1983" s="85"/>
      <c r="H1983" s="85"/>
      <c r="I1983" s="88">
        <v>395.45</v>
      </c>
      <c r="J1983" s="44" t="s">
        <v>27</v>
      </c>
    </row>
    <row r="1984" spans="1:10" ht="26.4" x14ac:dyDescent="0.25">
      <c r="A1984" s="39" t="s">
        <v>1878</v>
      </c>
      <c r="B1984" s="16" t="s">
        <v>1879</v>
      </c>
      <c r="C1984" s="16" t="s">
        <v>21</v>
      </c>
      <c r="D1984" s="17" t="s">
        <v>1880</v>
      </c>
      <c r="E1984" s="16" t="s">
        <v>23</v>
      </c>
      <c r="F1984" s="27">
        <v>44.78</v>
      </c>
      <c r="G1984" s="67">
        <v>180.57</v>
      </c>
      <c r="H1984" s="67">
        <v>217.76</v>
      </c>
      <c r="I1984" s="18">
        <v>9751.2900000000009</v>
      </c>
      <c r="J1984" s="40">
        <v>5.5711737652050551E-4</v>
      </c>
    </row>
    <row r="1985" spans="1:10" x14ac:dyDescent="0.25">
      <c r="A1985" s="43" t="s">
        <v>24</v>
      </c>
      <c r="B1985" s="83"/>
      <c r="C1985" s="83"/>
      <c r="D1985" s="84" t="s">
        <v>3</v>
      </c>
      <c r="E1985" s="85" t="s">
        <v>25</v>
      </c>
      <c r="F1985" s="85"/>
      <c r="G1985" s="85"/>
      <c r="H1985" s="86"/>
      <c r="I1985" s="87" t="s">
        <v>1911</v>
      </c>
      <c r="J1985" s="44"/>
    </row>
    <row r="1986" spans="1:10" ht="26.4" x14ac:dyDescent="0.25">
      <c r="A1986" s="51"/>
      <c r="B1986" s="83"/>
      <c r="C1986" s="83"/>
      <c r="D1986" s="84" t="s">
        <v>1881</v>
      </c>
      <c r="E1986" s="85">
        <f>(3.06+5.34)</f>
        <v>8.4</v>
      </c>
      <c r="F1986" s="85"/>
      <c r="G1986" s="85"/>
      <c r="H1986" s="85"/>
      <c r="I1986" s="88">
        <v>8.4</v>
      </c>
      <c r="J1986" s="44" t="s">
        <v>27</v>
      </c>
    </row>
    <row r="1987" spans="1:10" x14ac:dyDescent="0.25">
      <c r="A1987" s="51"/>
      <c r="B1987" s="83"/>
      <c r="C1987" s="83"/>
      <c r="D1987" s="84" t="s">
        <v>1876</v>
      </c>
      <c r="E1987" s="85">
        <f>(14.37+22.01)</f>
        <v>36.380000000000003</v>
      </c>
      <c r="F1987" s="85"/>
      <c r="G1987" s="85"/>
      <c r="H1987" s="85"/>
      <c r="I1987" s="88">
        <v>36.380000000000003</v>
      </c>
      <c r="J1987" s="44" t="s">
        <v>27</v>
      </c>
    </row>
    <row r="1988" spans="1:10" ht="39.6" x14ac:dyDescent="0.25">
      <c r="A1988" s="39" t="s">
        <v>1882</v>
      </c>
      <c r="B1988" s="16" t="s">
        <v>1883</v>
      </c>
      <c r="C1988" s="16" t="s">
        <v>56</v>
      </c>
      <c r="D1988" s="17" t="s">
        <v>1884</v>
      </c>
      <c r="E1988" s="16" t="s">
        <v>222</v>
      </c>
      <c r="F1988" s="27">
        <v>46.24</v>
      </c>
      <c r="G1988" s="67">
        <v>337.01</v>
      </c>
      <c r="H1988" s="67">
        <v>406.43</v>
      </c>
      <c r="I1988" s="18">
        <v>18793.32</v>
      </c>
      <c r="J1988" s="40">
        <v>1.0737128251247115E-3</v>
      </c>
    </row>
    <row r="1989" spans="1:10" x14ac:dyDescent="0.25">
      <c r="A1989" s="43" t="s">
        <v>24</v>
      </c>
      <c r="B1989" s="83"/>
      <c r="C1989" s="83"/>
      <c r="D1989" s="84" t="s">
        <v>3</v>
      </c>
      <c r="E1989" s="85" t="s">
        <v>25</v>
      </c>
      <c r="F1989" s="85"/>
      <c r="G1989" s="85"/>
      <c r="H1989" s="86"/>
      <c r="I1989" s="87" t="s">
        <v>1911</v>
      </c>
      <c r="J1989" s="44"/>
    </row>
    <row r="1990" spans="1:10" x14ac:dyDescent="0.25">
      <c r="A1990" s="51"/>
      <c r="B1990" s="83"/>
      <c r="C1990" s="83"/>
      <c r="D1990" s="84" t="s">
        <v>1872</v>
      </c>
      <c r="E1990" s="85">
        <f>46.24</f>
        <v>46.24</v>
      </c>
      <c r="F1990" s="85"/>
      <c r="G1990" s="85"/>
      <c r="H1990" s="85"/>
      <c r="I1990" s="88">
        <v>46.24</v>
      </c>
      <c r="J1990" s="44" t="s">
        <v>27</v>
      </c>
    </row>
    <row r="1991" spans="1:10" ht="66" x14ac:dyDescent="0.25">
      <c r="A1991" s="39" t="s">
        <v>1885</v>
      </c>
      <c r="B1991" s="16" t="s">
        <v>1886</v>
      </c>
      <c r="C1991" s="16" t="s">
        <v>14</v>
      </c>
      <c r="D1991" s="17" t="s">
        <v>1887</v>
      </c>
      <c r="E1991" s="16" t="s">
        <v>138</v>
      </c>
      <c r="F1991" s="27">
        <v>130.81</v>
      </c>
      <c r="G1991" s="67">
        <v>584.83000000000004</v>
      </c>
      <c r="H1991" s="67">
        <v>705.3</v>
      </c>
      <c r="I1991" s="18">
        <v>92260.29</v>
      </c>
      <c r="J1991" s="40">
        <v>5.2710780544749499E-3</v>
      </c>
    </row>
    <row r="1992" spans="1:10" x14ac:dyDescent="0.25">
      <c r="A1992" s="43" t="s">
        <v>24</v>
      </c>
      <c r="B1992" s="83"/>
      <c r="C1992" s="83"/>
      <c r="D1992" s="84" t="s">
        <v>3</v>
      </c>
      <c r="E1992" s="85" t="s">
        <v>25</v>
      </c>
      <c r="F1992" s="85"/>
      <c r="G1992" s="85"/>
      <c r="H1992" s="86"/>
      <c r="I1992" s="87" t="s">
        <v>1911</v>
      </c>
      <c r="J1992" s="44"/>
    </row>
    <row r="1993" spans="1:10" x14ac:dyDescent="0.25">
      <c r="A1993" s="51"/>
      <c r="B1993" s="83"/>
      <c r="C1993" s="83"/>
      <c r="D1993" s="84" t="s">
        <v>1872</v>
      </c>
      <c r="E1993" s="85">
        <f>130.81</f>
        <v>130.81</v>
      </c>
      <c r="F1993" s="85"/>
      <c r="G1993" s="85"/>
      <c r="H1993" s="85"/>
      <c r="I1993" s="88">
        <v>130.81</v>
      </c>
      <c r="J1993" s="44" t="s">
        <v>27</v>
      </c>
    </row>
    <row r="1994" spans="1:10" x14ac:dyDescent="0.25">
      <c r="A1994" s="41" t="s">
        <v>1888</v>
      </c>
      <c r="B1994" s="13"/>
      <c r="C1994" s="13"/>
      <c r="D1994" s="14" t="s">
        <v>1889</v>
      </c>
      <c r="E1994" s="14"/>
      <c r="F1994" s="26">
        <v>1</v>
      </c>
      <c r="G1994" s="66"/>
      <c r="H1994" s="66"/>
      <c r="I1994" s="15">
        <v>19356.14</v>
      </c>
      <c r="J1994" s="42">
        <v>1.1058682427005676E-3</v>
      </c>
    </row>
    <row r="1995" spans="1:10" x14ac:dyDescent="0.25">
      <c r="A1995" s="39" t="s">
        <v>1890</v>
      </c>
      <c r="B1995" s="16" t="s">
        <v>1891</v>
      </c>
      <c r="C1995" s="16" t="s">
        <v>56</v>
      </c>
      <c r="D1995" s="17" t="s">
        <v>1892</v>
      </c>
      <c r="E1995" s="16" t="s">
        <v>23</v>
      </c>
      <c r="F1995" s="27">
        <v>6791.63</v>
      </c>
      <c r="G1995" s="67">
        <v>2.37</v>
      </c>
      <c r="H1995" s="67">
        <v>2.85</v>
      </c>
      <c r="I1995" s="18">
        <v>19356.14</v>
      </c>
      <c r="J1995" s="40">
        <v>1.1058682427005676E-3</v>
      </c>
    </row>
    <row r="1996" spans="1:10" x14ac:dyDescent="0.25">
      <c r="A1996" s="43" t="s">
        <v>24</v>
      </c>
      <c r="B1996" s="83"/>
      <c r="C1996" s="83"/>
      <c r="D1996" s="84" t="s">
        <v>3</v>
      </c>
      <c r="E1996" s="85" t="s">
        <v>25</v>
      </c>
      <c r="F1996" s="85"/>
      <c r="G1996" s="85"/>
      <c r="H1996" s="86"/>
      <c r="I1996" s="87" t="s">
        <v>1911</v>
      </c>
      <c r="J1996" s="44"/>
    </row>
    <row r="1997" spans="1:10" ht="27" thickBot="1" x14ac:dyDescent="0.3">
      <c r="A1997" s="53"/>
      <c r="B1997" s="54"/>
      <c r="C1997" s="54"/>
      <c r="D1997" s="47" t="s">
        <v>1893</v>
      </c>
      <c r="E1997" s="55">
        <f>6791.63</f>
        <v>6791.63</v>
      </c>
      <c r="F1997" s="55"/>
      <c r="G1997" s="55"/>
      <c r="H1997" s="55"/>
      <c r="I1997" s="95">
        <v>6791.63</v>
      </c>
      <c r="J1997" s="48" t="s">
        <v>27</v>
      </c>
    </row>
    <row r="1998" spans="1:10" x14ac:dyDescent="0.25">
      <c r="A1998" s="19"/>
      <c r="B1998" s="19"/>
      <c r="C1998" s="19"/>
      <c r="D1998" s="19"/>
      <c r="E1998" s="19"/>
      <c r="F1998" s="29"/>
      <c r="G1998" s="69"/>
      <c r="H1998" s="69"/>
      <c r="I1998" s="19"/>
      <c r="J1998" s="19"/>
    </row>
    <row r="1999" spans="1:10" x14ac:dyDescent="0.25">
      <c r="A1999" s="75"/>
      <c r="B1999" s="76"/>
      <c r="C1999" s="76"/>
      <c r="D1999" s="77"/>
      <c r="E1999" s="78"/>
      <c r="F1999" s="76" t="s">
        <v>1906</v>
      </c>
      <c r="G1999" s="76"/>
      <c r="H1999" s="79">
        <v>14728572.83</v>
      </c>
      <c r="I1999" s="79"/>
      <c r="J1999" s="80"/>
    </row>
    <row r="2000" spans="1:10" x14ac:dyDescent="0.25">
      <c r="A2000" s="75"/>
      <c r="B2000" s="76"/>
      <c r="C2000" s="76"/>
      <c r="D2000" s="77"/>
      <c r="E2000" s="78"/>
      <c r="F2000" s="76" t="s">
        <v>1907</v>
      </c>
      <c r="G2000" s="76"/>
      <c r="H2000" s="79">
        <v>2774543.05</v>
      </c>
      <c r="I2000" s="79"/>
      <c r="J2000" s="80"/>
    </row>
    <row r="2001" spans="1:10" x14ac:dyDescent="0.25">
      <c r="A2001" s="75"/>
      <c r="B2001" s="76"/>
      <c r="C2001" s="76"/>
      <c r="D2001" s="77"/>
      <c r="E2001" s="78"/>
      <c r="F2001" s="76" t="s">
        <v>1908</v>
      </c>
      <c r="G2001" s="76"/>
      <c r="H2001" s="79">
        <v>17503115.879999999</v>
      </c>
      <c r="I2001" s="79"/>
      <c r="J2001" s="80"/>
    </row>
    <row r="2002" spans="1:10" x14ac:dyDescent="0.25">
      <c r="A2002" s="24"/>
      <c r="B2002" s="24"/>
      <c r="C2002" s="24"/>
      <c r="D2002" s="20"/>
      <c r="E2002" s="24"/>
      <c r="F2002" s="6"/>
      <c r="G2002" s="24"/>
      <c r="H2002" s="74"/>
      <c r="I2002" s="24"/>
      <c r="J2002" s="24"/>
    </row>
    <row r="2003" spans="1:10" x14ac:dyDescent="0.25">
      <c r="A2003" s="24"/>
      <c r="B2003" s="24"/>
      <c r="C2003" s="24"/>
      <c r="D2003" s="20"/>
      <c r="E2003" s="24"/>
      <c r="F2003" s="6"/>
      <c r="G2003" s="24"/>
      <c r="H2003" s="74"/>
      <c r="I2003" s="24"/>
      <c r="J2003" s="24"/>
    </row>
    <row r="2004" spans="1:10" x14ac:dyDescent="0.25">
      <c r="A2004" s="24"/>
      <c r="B2004" s="24"/>
      <c r="C2004" s="24"/>
      <c r="D2004" s="20"/>
      <c r="E2004" s="24"/>
      <c r="F2004" s="6"/>
      <c r="G2004" s="24"/>
      <c r="H2004" s="74"/>
      <c r="I2004" s="24"/>
      <c r="J2004" s="24"/>
    </row>
    <row r="2005" spans="1:10" x14ac:dyDescent="0.25">
      <c r="A2005" s="24"/>
      <c r="B2005" s="24"/>
      <c r="C2005" s="24"/>
      <c r="D2005" s="20"/>
      <c r="E2005" s="24"/>
      <c r="F2005" s="6"/>
      <c r="G2005" s="24"/>
      <c r="H2005" s="74"/>
      <c r="I2005" s="24"/>
      <c r="J2005" s="24"/>
    </row>
    <row r="2006" spans="1:10" x14ac:dyDescent="0.25">
      <c r="A2006" s="3"/>
      <c r="B2006" s="49" t="s">
        <v>1930</v>
      </c>
      <c r="C2006" s="50"/>
      <c r="E2006" s="50"/>
      <c r="I2006" s="3"/>
      <c r="J2006" s="3"/>
    </row>
    <row r="2007" spans="1:10" x14ac:dyDescent="0.25">
      <c r="A2007" s="3"/>
      <c r="B2007" s="52" t="s">
        <v>1931</v>
      </c>
      <c r="C2007" s="52"/>
      <c r="D2007" s="52"/>
      <c r="E2007" s="52"/>
      <c r="F2007" s="52"/>
      <c r="H2007" s="68"/>
      <c r="I2007" s="3"/>
      <c r="J2007" s="3"/>
    </row>
    <row r="2008" spans="1:10" x14ac:dyDescent="0.25">
      <c r="A2008" s="3"/>
      <c r="B2008" s="3"/>
      <c r="C2008" s="3"/>
      <c r="D2008" s="2"/>
      <c r="E2008" s="4"/>
      <c r="F2008" s="30"/>
      <c r="G2008" s="70"/>
      <c r="H2008" s="71"/>
      <c r="I2008" s="3"/>
      <c r="J2008" s="3"/>
    </row>
    <row r="2009" spans="1:10" x14ac:dyDescent="0.25">
      <c r="A2009" s="3"/>
      <c r="B2009" s="3"/>
      <c r="C2009" s="3"/>
      <c r="D2009" s="2"/>
      <c r="E2009" s="4"/>
      <c r="F2009" s="30"/>
      <c r="G2009" s="70"/>
      <c r="H2009" s="71"/>
      <c r="I2009" s="3"/>
      <c r="J2009" s="3"/>
    </row>
    <row r="2010" spans="1:10" ht="15.6" x14ac:dyDescent="0.25">
      <c r="D2010" s="10" t="s">
        <v>1900</v>
      </c>
      <c r="E2010" s="1"/>
    </row>
    <row r="2011" spans="1:10" ht="15.6" x14ac:dyDescent="0.3">
      <c r="A2011" s="9"/>
      <c r="D2011" s="11" t="s">
        <v>1901</v>
      </c>
      <c r="E2011" s="1"/>
    </row>
    <row r="2012" spans="1:10" ht="15.6" x14ac:dyDescent="0.25">
      <c r="D2012" s="12" t="s">
        <v>1902</v>
      </c>
    </row>
    <row r="2013" spans="1:10" ht="15.6" x14ac:dyDescent="0.25">
      <c r="D2013" s="12" t="s">
        <v>1903</v>
      </c>
    </row>
    <row r="2014" spans="1:10" ht="15.6" x14ac:dyDescent="0.25">
      <c r="D2014" s="12" t="s">
        <v>1904</v>
      </c>
    </row>
  </sheetData>
  <mergeCells count="2670">
    <mergeCell ref="B1996:C1996"/>
    <mergeCell ref="E1996:G1996"/>
    <mergeCell ref="A1997:C1997"/>
    <mergeCell ref="E1997:H1997"/>
    <mergeCell ref="A1999:C1999"/>
    <mergeCell ref="F1999:G1999"/>
    <mergeCell ref="A2000:C2000"/>
    <mergeCell ref="F2000:G2000"/>
    <mergeCell ref="F2001:G2001"/>
    <mergeCell ref="H1999:I1999"/>
    <mergeCell ref="H2000:I2000"/>
    <mergeCell ref="H2001:I2001"/>
    <mergeCell ref="A1967:C1967"/>
    <mergeCell ref="E1967:H1967"/>
    <mergeCell ref="B1972:C1972"/>
    <mergeCell ref="E1972:G1972"/>
    <mergeCell ref="B1978:C1978"/>
    <mergeCell ref="E1978:G1978"/>
    <mergeCell ref="A1979:C1979"/>
    <mergeCell ref="E1979:H1979"/>
    <mergeCell ref="B1981:C1981"/>
    <mergeCell ref="E1981:G1981"/>
    <mergeCell ref="A1983:C1983"/>
    <mergeCell ref="E1983:H1983"/>
    <mergeCell ref="B1985:C1985"/>
    <mergeCell ref="E1985:G1985"/>
    <mergeCell ref="B1989:C1989"/>
    <mergeCell ref="E1989:G1989"/>
    <mergeCell ref="A1990:C1990"/>
    <mergeCell ref="E1990:H1990"/>
    <mergeCell ref="B1929:C1929"/>
    <mergeCell ref="E1929:G1929"/>
    <mergeCell ref="A1930:C1930"/>
    <mergeCell ref="E1930:H1930"/>
    <mergeCell ref="B1932:C1932"/>
    <mergeCell ref="E1932:G1932"/>
    <mergeCell ref="B1935:C1935"/>
    <mergeCell ref="E1935:G1935"/>
    <mergeCell ref="A1936:C1936"/>
    <mergeCell ref="E1936:H1936"/>
    <mergeCell ref="B1938:C1938"/>
    <mergeCell ref="E1938:G1938"/>
    <mergeCell ref="B1942:C1942"/>
    <mergeCell ref="E1942:G1942"/>
    <mergeCell ref="A1943:C1943"/>
    <mergeCell ref="E1943:H1943"/>
    <mergeCell ref="A1944:C1944"/>
    <mergeCell ref="E1944:H1944"/>
    <mergeCell ref="B1846:C1846"/>
    <mergeCell ref="E1846:G1846"/>
    <mergeCell ref="A1847:C1847"/>
    <mergeCell ref="E1847:H1847"/>
    <mergeCell ref="B1849:C1849"/>
    <mergeCell ref="E1849:G1849"/>
    <mergeCell ref="A1850:C1850"/>
    <mergeCell ref="E1850:H1850"/>
    <mergeCell ref="B1852:C1852"/>
    <mergeCell ref="E1852:G1852"/>
    <mergeCell ref="A1853:C1853"/>
    <mergeCell ref="E1853:H1853"/>
    <mergeCell ref="B1857:C1857"/>
    <mergeCell ref="E1857:G1857"/>
    <mergeCell ref="A1858:C1858"/>
    <mergeCell ref="E1858:H1858"/>
    <mergeCell ref="A1859:C1859"/>
    <mergeCell ref="E1859:H1859"/>
    <mergeCell ref="A1788:C1788"/>
    <mergeCell ref="E1788:H1788"/>
    <mergeCell ref="B1790:C1790"/>
    <mergeCell ref="E1790:G1790"/>
    <mergeCell ref="A1791:C1791"/>
    <mergeCell ref="E1791:H1791"/>
    <mergeCell ref="B1793:C1793"/>
    <mergeCell ref="E1793:G1793"/>
    <mergeCell ref="A1794:C1794"/>
    <mergeCell ref="E1794:H1794"/>
    <mergeCell ref="B1796:C1796"/>
    <mergeCell ref="E1796:G1796"/>
    <mergeCell ref="A1797:C1797"/>
    <mergeCell ref="E1797:H1797"/>
    <mergeCell ref="B1799:C1799"/>
    <mergeCell ref="E1799:G1799"/>
    <mergeCell ref="A1800:C1800"/>
    <mergeCell ref="E1800:H1800"/>
    <mergeCell ref="B1707:C1707"/>
    <mergeCell ref="E1707:G1707"/>
    <mergeCell ref="A1708:C1708"/>
    <mergeCell ref="E1708:H1708"/>
    <mergeCell ref="B1710:C1710"/>
    <mergeCell ref="E1710:G1710"/>
    <mergeCell ref="A1711:C1711"/>
    <mergeCell ref="E1711:H1711"/>
    <mergeCell ref="B1713:C1713"/>
    <mergeCell ref="E1713:G1713"/>
    <mergeCell ref="A1714:C1714"/>
    <mergeCell ref="E1714:H1714"/>
    <mergeCell ref="B1716:C1716"/>
    <mergeCell ref="E1716:G1716"/>
    <mergeCell ref="A1717:C1717"/>
    <mergeCell ref="E1717:H1717"/>
    <mergeCell ref="B1719:C1719"/>
    <mergeCell ref="E1719:G1719"/>
    <mergeCell ref="A1678:C1678"/>
    <mergeCell ref="E1678:H1678"/>
    <mergeCell ref="B1680:C1680"/>
    <mergeCell ref="E1680:G1680"/>
    <mergeCell ref="A1681:C1681"/>
    <mergeCell ref="E1681:H1681"/>
    <mergeCell ref="B1698:C1698"/>
    <mergeCell ref="E1698:G1698"/>
    <mergeCell ref="A1699:C1699"/>
    <mergeCell ref="E1699:H1699"/>
    <mergeCell ref="B1701:C1701"/>
    <mergeCell ref="E1701:G1701"/>
    <mergeCell ref="A1702:C1702"/>
    <mergeCell ref="E1702:H1702"/>
    <mergeCell ref="B1704:C1704"/>
    <mergeCell ref="E1704:G1704"/>
    <mergeCell ref="A1705:C1705"/>
    <mergeCell ref="E1705:H1705"/>
    <mergeCell ref="A1649:C1649"/>
    <mergeCell ref="E1649:H1649"/>
    <mergeCell ref="B1651:C1651"/>
    <mergeCell ref="E1651:G1651"/>
    <mergeCell ref="A1652:C1652"/>
    <mergeCell ref="E1652:H1652"/>
    <mergeCell ref="B1654:C1654"/>
    <mergeCell ref="E1654:G1654"/>
    <mergeCell ref="A1655:C1655"/>
    <mergeCell ref="E1655:H1655"/>
    <mergeCell ref="B1658:C1658"/>
    <mergeCell ref="E1658:G1658"/>
    <mergeCell ref="A1659:C1659"/>
    <mergeCell ref="E1659:H1659"/>
    <mergeCell ref="B1661:C1661"/>
    <mergeCell ref="E1661:G1661"/>
    <mergeCell ref="A1662:C1662"/>
    <mergeCell ref="E1662:H1662"/>
    <mergeCell ref="A1592:C1592"/>
    <mergeCell ref="E1592:H1592"/>
    <mergeCell ref="B1594:C1594"/>
    <mergeCell ref="E1594:G1594"/>
    <mergeCell ref="A1595:C1595"/>
    <mergeCell ref="E1595:H1595"/>
    <mergeCell ref="B1597:C1597"/>
    <mergeCell ref="E1597:G1597"/>
    <mergeCell ref="A1598:C1598"/>
    <mergeCell ref="E1598:H1598"/>
    <mergeCell ref="B1600:C1600"/>
    <mergeCell ref="E1600:G1600"/>
    <mergeCell ref="A1601:C1601"/>
    <mergeCell ref="E1601:H1601"/>
    <mergeCell ref="B1603:C1603"/>
    <mergeCell ref="E1603:G1603"/>
    <mergeCell ref="A1604:C1604"/>
    <mergeCell ref="E1604:H1604"/>
    <mergeCell ref="A1553:C1553"/>
    <mergeCell ref="E1553:H1553"/>
    <mergeCell ref="B1555:C1555"/>
    <mergeCell ref="E1555:G1555"/>
    <mergeCell ref="A1556:C1556"/>
    <mergeCell ref="E1556:H1556"/>
    <mergeCell ref="B1558:C1558"/>
    <mergeCell ref="E1558:G1558"/>
    <mergeCell ref="A1559:C1559"/>
    <mergeCell ref="E1559:H1559"/>
    <mergeCell ref="B1567:C1567"/>
    <mergeCell ref="E1567:G1567"/>
    <mergeCell ref="A1568:C1568"/>
    <mergeCell ref="E1568:H1568"/>
    <mergeCell ref="B1570:C1570"/>
    <mergeCell ref="E1570:G1570"/>
    <mergeCell ref="A1571:C1571"/>
    <mergeCell ref="E1571:H1571"/>
    <mergeCell ref="A1486:C1486"/>
    <mergeCell ref="E1486:H1486"/>
    <mergeCell ref="B1488:C1488"/>
    <mergeCell ref="E1488:G1488"/>
    <mergeCell ref="A1489:C1489"/>
    <mergeCell ref="E1489:H1489"/>
    <mergeCell ref="B1491:C1491"/>
    <mergeCell ref="E1491:G1491"/>
    <mergeCell ref="A1492:C1492"/>
    <mergeCell ref="E1492:H1492"/>
    <mergeCell ref="B1536:C1536"/>
    <mergeCell ref="E1536:G1536"/>
    <mergeCell ref="A1537:C1537"/>
    <mergeCell ref="E1537:H1537"/>
    <mergeCell ref="B1539:C1539"/>
    <mergeCell ref="E1539:G1539"/>
    <mergeCell ref="A1540:C1540"/>
    <mergeCell ref="E1540:H1540"/>
    <mergeCell ref="A1459:C1459"/>
    <mergeCell ref="E1459:H1459"/>
    <mergeCell ref="B1461:C1461"/>
    <mergeCell ref="E1461:G1461"/>
    <mergeCell ref="A1462:C1462"/>
    <mergeCell ref="E1462:H1462"/>
    <mergeCell ref="B1464:C1464"/>
    <mergeCell ref="E1464:G1464"/>
    <mergeCell ref="A1465:C1465"/>
    <mergeCell ref="E1465:H1465"/>
    <mergeCell ref="B1467:C1467"/>
    <mergeCell ref="E1467:G1467"/>
    <mergeCell ref="A1468:C1468"/>
    <mergeCell ref="E1468:H1468"/>
    <mergeCell ref="B1470:C1470"/>
    <mergeCell ref="E1470:G1470"/>
    <mergeCell ref="A1471:C1471"/>
    <mergeCell ref="E1471:H1471"/>
    <mergeCell ref="A1432:C1432"/>
    <mergeCell ref="E1432:H1432"/>
    <mergeCell ref="B1434:C1434"/>
    <mergeCell ref="E1434:G1434"/>
    <mergeCell ref="A1435:C1435"/>
    <mergeCell ref="E1435:H1435"/>
    <mergeCell ref="B1437:C1437"/>
    <mergeCell ref="E1437:G1437"/>
    <mergeCell ref="A1438:C1438"/>
    <mergeCell ref="E1438:H1438"/>
    <mergeCell ref="B1440:C1440"/>
    <mergeCell ref="E1440:G1440"/>
    <mergeCell ref="A1441:C1441"/>
    <mergeCell ref="E1441:H1441"/>
    <mergeCell ref="B1443:C1443"/>
    <mergeCell ref="E1443:G1443"/>
    <mergeCell ref="A1444:C1444"/>
    <mergeCell ref="E1444:H1444"/>
    <mergeCell ref="A1405:C1405"/>
    <mergeCell ref="E1405:H1405"/>
    <mergeCell ref="B1407:C1407"/>
    <mergeCell ref="E1407:G1407"/>
    <mergeCell ref="A1408:C1408"/>
    <mergeCell ref="E1408:H1408"/>
    <mergeCell ref="B1410:C1410"/>
    <mergeCell ref="E1410:G1410"/>
    <mergeCell ref="A1411:C1411"/>
    <mergeCell ref="E1411:H1411"/>
    <mergeCell ref="B1413:C1413"/>
    <mergeCell ref="E1413:G1413"/>
    <mergeCell ref="A1414:C1414"/>
    <mergeCell ref="E1414:H1414"/>
    <mergeCell ref="B1416:C1416"/>
    <mergeCell ref="E1416:G1416"/>
    <mergeCell ref="A1417:C1417"/>
    <mergeCell ref="E1417:H1417"/>
    <mergeCell ref="A1378:C1378"/>
    <mergeCell ref="E1378:H1378"/>
    <mergeCell ref="B1380:C1380"/>
    <mergeCell ref="E1380:G1380"/>
    <mergeCell ref="A1381:C1381"/>
    <mergeCell ref="E1381:H1381"/>
    <mergeCell ref="B1383:C1383"/>
    <mergeCell ref="E1383:G1383"/>
    <mergeCell ref="A1384:C1384"/>
    <mergeCell ref="E1384:H1384"/>
    <mergeCell ref="B1386:C1386"/>
    <mergeCell ref="E1386:G1386"/>
    <mergeCell ref="A1387:C1387"/>
    <mergeCell ref="E1387:H1387"/>
    <mergeCell ref="B1389:C1389"/>
    <mergeCell ref="E1389:G1389"/>
    <mergeCell ref="A1390:C1390"/>
    <mergeCell ref="E1390:H1390"/>
    <mergeCell ref="A1351:C1351"/>
    <mergeCell ref="E1351:H1351"/>
    <mergeCell ref="B1353:C1353"/>
    <mergeCell ref="E1353:G1353"/>
    <mergeCell ref="A1354:C1354"/>
    <mergeCell ref="E1354:H1354"/>
    <mergeCell ref="B1356:C1356"/>
    <mergeCell ref="E1356:G1356"/>
    <mergeCell ref="A1357:C1357"/>
    <mergeCell ref="E1357:H1357"/>
    <mergeCell ref="B1359:C1359"/>
    <mergeCell ref="E1359:G1359"/>
    <mergeCell ref="A1360:C1360"/>
    <mergeCell ref="E1360:H1360"/>
    <mergeCell ref="B1362:C1362"/>
    <mergeCell ref="E1362:G1362"/>
    <mergeCell ref="A1363:C1363"/>
    <mergeCell ref="E1363:H1363"/>
    <mergeCell ref="B1338:C1338"/>
    <mergeCell ref="E1338:G1338"/>
    <mergeCell ref="A1339:C1339"/>
    <mergeCell ref="E1339:H1339"/>
    <mergeCell ref="B1341:C1341"/>
    <mergeCell ref="E1341:G1341"/>
    <mergeCell ref="A1342:C1342"/>
    <mergeCell ref="E1342:H1342"/>
    <mergeCell ref="B1344:C1344"/>
    <mergeCell ref="E1344:G1344"/>
    <mergeCell ref="A1345:C1345"/>
    <mergeCell ref="E1345:H1345"/>
    <mergeCell ref="B1347:C1347"/>
    <mergeCell ref="E1347:G1347"/>
    <mergeCell ref="A1348:C1348"/>
    <mergeCell ref="E1348:H1348"/>
    <mergeCell ref="B1350:C1350"/>
    <mergeCell ref="E1350:G1350"/>
    <mergeCell ref="A1281:C1281"/>
    <mergeCell ref="E1281:H1281"/>
    <mergeCell ref="B1283:C1283"/>
    <mergeCell ref="E1283:G1283"/>
    <mergeCell ref="A1284:C1284"/>
    <mergeCell ref="E1284:H1284"/>
    <mergeCell ref="B1286:C1286"/>
    <mergeCell ref="E1286:G1286"/>
    <mergeCell ref="A1287:C1287"/>
    <mergeCell ref="E1287:H1287"/>
    <mergeCell ref="B1289:C1289"/>
    <mergeCell ref="E1289:G1289"/>
    <mergeCell ref="A1290:C1290"/>
    <mergeCell ref="E1290:H1290"/>
    <mergeCell ref="B1292:C1292"/>
    <mergeCell ref="E1292:G1292"/>
    <mergeCell ref="A1293:C1293"/>
    <mergeCell ref="E1293:H1293"/>
    <mergeCell ref="A1251:C1251"/>
    <mergeCell ref="E1251:H1251"/>
    <mergeCell ref="B1253:C1253"/>
    <mergeCell ref="E1253:G1253"/>
    <mergeCell ref="A1254:C1254"/>
    <mergeCell ref="E1254:H1254"/>
    <mergeCell ref="B1256:C1256"/>
    <mergeCell ref="E1256:G1256"/>
    <mergeCell ref="A1257:C1257"/>
    <mergeCell ref="E1257:H1257"/>
    <mergeCell ref="B1259:C1259"/>
    <mergeCell ref="E1259:G1259"/>
    <mergeCell ref="A1260:C1260"/>
    <mergeCell ref="E1260:H1260"/>
    <mergeCell ref="B1262:C1262"/>
    <mergeCell ref="E1262:G1262"/>
    <mergeCell ref="A1263:C1263"/>
    <mergeCell ref="E1263:H1263"/>
    <mergeCell ref="A1209:C1209"/>
    <mergeCell ref="E1209:H1209"/>
    <mergeCell ref="B1211:C1211"/>
    <mergeCell ref="E1211:G1211"/>
    <mergeCell ref="A1212:C1212"/>
    <mergeCell ref="E1212:H1212"/>
    <mergeCell ref="B1215:C1215"/>
    <mergeCell ref="E1215:G1215"/>
    <mergeCell ref="A1216:C1216"/>
    <mergeCell ref="E1216:H1216"/>
    <mergeCell ref="B1218:C1218"/>
    <mergeCell ref="E1218:G1218"/>
    <mergeCell ref="A1219:C1219"/>
    <mergeCell ref="E1219:H1219"/>
    <mergeCell ref="B1221:C1221"/>
    <mergeCell ref="E1221:G1221"/>
    <mergeCell ref="A1222:C1222"/>
    <mergeCell ref="E1222:H1222"/>
    <mergeCell ref="A1166:C1166"/>
    <mergeCell ref="E1166:H1166"/>
    <mergeCell ref="B1168:C1168"/>
    <mergeCell ref="E1168:G1168"/>
    <mergeCell ref="A1169:C1169"/>
    <mergeCell ref="E1169:H1169"/>
    <mergeCell ref="B1188:C1188"/>
    <mergeCell ref="E1188:G1188"/>
    <mergeCell ref="A1189:C1189"/>
    <mergeCell ref="E1189:H1189"/>
    <mergeCell ref="B1191:C1191"/>
    <mergeCell ref="E1191:G1191"/>
    <mergeCell ref="A1192:C1192"/>
    <mergeCell ref="E1192:H1192"/>
    <mergeCell ref="B1194:C1194"/>
    <mergeCell ref="E1194:G1194"/>
    <mergeCell ref="A1195:C1195"/>
    <mergeCell ref="E1195:H1195"/>
    <mergeCell ref="B1141:C1141"/>
    <mergeCell ref="E1141:G1141"/>
    <mergeCell ref="A1142:C1142"/>
    <mergeCell ref="E1142:H1142"/>
    <mergeCell ref="B1144:C1144"/>
    <mergeCell ref="E1144:G1144"/>
    <mergeCell ref="A1145:C1145"/>
    <mergeCell ref="E1145:H1145"/>
    <mergeCell ref="B1147:C1147"/>
    <mergeCell ref="E1147:G1147"/>
    <mergeCell ref="A1148:C1148"/>
    <mergeCell ref="E1148:H1148"/>
    <mergeCell ref="B1150:C1150"/>
    <mergeCell ref="E1150:G1150"/>
    <mergeCell ref="A1151:C1151"/>
    <mergeCell ref="E1151:H1151"/>
    <mergeCell ref="B1153:C1153"/>
    <mergeCell ref="E1153:G1153"/>
    <mergeCell ref="A1124:C1124"/>
    <mergeCell ref="E1124:H1124"/>
    <mergeCell ref="B1126:C1126"/>
    <mergeCell ref="E1126:G1126"/>
    <mergeCell ref="A1127:C1127"/>
    <mergeCell ref="E1127:H1127"/>
    <mergeCell ref="B1129:C1129"/>
    <mergeCell ref="E1129:G1129"/>
    <mergeCell ref="A1130:C1130"/>
    <mergeCell ref="E1130:H1130"/>
    <mergeCell ref="B1132:C1132"/>
    <mergeCell ref="E1132:G1132"/>
    <mergeCell ref="A1133:C1133"/>
    <mergeCell ref="E1133:H1133"/>
    <mergeCell ref="B1135:C1135"/>
    <mergeCell ref="E1135:G1135"/>
    <mergeCell ref="A1136:C1136"/>
    <mergeCell ref="E1136:H1136"/>
    <mergeCell ref="A1053:C1053"/>
    <mergeCell ref="E1053:H1053"/>
    <mergeCell ref="B1055:C1055"/>
    <mergeCell ref="E1055:G1055"/>
    <mergeCell ref="A1056:C1056"/>
    <mergeCell ref="E1056:H1056"/>
    <mergeCell ref="B1058:C1058"/>
    <mergeCell ref="E1058:G1058"/>
    <mergeCell ref="A1059:C1059"/>
    <mergeCell ref="E1059:H1059"/>
    <mergeCell ref="B1061:C1061"/>
    <mergeCell ref="E1061:G1061"/>
    <mergeCell ref="A1062:C1062"/>
    <mergeCell ref="E1062:H1062"/>
    <mergeCell ref="B1064:C1064"/>
    <mergeCell ref="E1064:G1064"/>
    <mergeCell ref="A1065:C1065"/>
    <mergeCell ref="E1065:H1065"/>
    <mergeCell ref="A1026:C1026"/>
    <mergeCell ref="E1026:H1026"/>
    <mergeCell ref="B1028:C1028"/>
    <mergeCell ref="E1028:G1028"/>
    <mergeCell ref="A1029:C1029"/>
    <mergeCell ref="E1029:H1029"/>
    <mergeCell ref="B1031:C1031"/>
    <mergeCell ref="E1031:G1031"/>
    <mergeCell ref="A1032:C1032"/>
    <mergeCell ref="E1032:H1032"/>
    <mergeCell ref="B1034:C1034"/>
    <mergeCell ref="E1034:G1034"/>
    <mergeCell ref="A1035:C1035"/>
    <mergeCell ref="E1035:H1035"/>
    <mergeCell ref="B1037:C1037"/>
    <mergeCell ref="E1037:G1037"/>
    <mergeCell ref="A1038:C1038"/>
    <mergeCell ref="E1038:H1038"/>
    <mergeCell ref="B1001:C1001"/>
    <mergeCell ref="E1001:G1001"/>
    <mergeCell ref="A1002:C1002"/>
    <mergeCell ref="E1002:H1002"/>
    <mergeCell ref="B1004:C1004"/>
    <mergeCell ref="E1004:G1004"/>
    <mergeCell ref="A1005:C1005"/>
    <mergeCell ref="E1005:H1005"/>
    <mergeCell ref="B1007:C1007"/>
    <mergeCell ref="E1007:G1007"/>
    <mergeCell ref="A1008:C1008"/>
    <mergeCell ref="E1008:H1008"/>
    <mergeCell ref="B1010:C1010"/>
    <mergeCell ref="E1010:G1010"/>
    <mergeCell ref="A1011:C1011"/>
    <mergeCell ref="E1011:H1011"/>
    <mergeCell ref="B1013:C1013"/>
    <mergeCell ref="E1013:G1013"/>
    <mergeCell ref="B986:C986"/>
    <mergeCell ref="E986:G986"/>
    <mergeCell ref="A987:C987"/>
    <mergeCell ref="E987:H987"/>
    <mergeCell ref="B989:C989"/>
    <mergeCell ref="E989:G989"/>
    <mergeCell ref="A990:C990"/>
    <mergeCell ref="E990:H990"/>
    <mergeCell ref="B992:C992"/>
    <mergeCell ref="E992:G992"/>
    <mergeCell ref="A993:C993"/>
    <mergeCell ref="E993:H993"/>
    <mergeCell ref="B995:C995"/>
    <mergeCell ref="E995:G995"/>
    <mergeCell ref="A996:C996"/>
    <mergeCell ref="E996:H996"/>
    <mergeCell ref="B998:C998"/>
    <mergeCell ref="E998:G998"/>
    <mergeCell ref="B947:C947"/>
    <mergeCell ref="E947:G947"/>
    <mergeCell ref="A948:C948"/>
    <mergeCell ref="E948:H948"/>
    <mergeCell ref="A953:C953"/>
    <mergeCell ref="E953:H953"/>
    <mergeCell ref="A954:C954"/>
    <mergeCell ref="E954:H954"/>
    <mergeCell ref="B957:C957"/>
    <mergeCell ref="E957:G957"/>
    <mergeCell ref="A958:C958"/>
    <mergeCell ref="E958:H958"/>
    <mergeCell ref="B962:C962"/>
    <mergeCell ref="E962:G962"/>
    <mergeCell ref="B965:C965"/>
    <mergeCell ref="E965:G965"/>
    <mergeCell ref="A966:C966"/>
    <mergeCell ref="E966:H966"/>
    <mergeCell ref="A872:C872"/>
    <mergeCell ref="E872:H872"/>
    <mergeCell ref="A874:C874"/>
    <mergeCell ref="E874:H874"/>
    <mergeCell ref="A875:C875"/>
    <mergeCell ref="E875:H875"/>
    <mergeCell ref="A876:C876"/>
    <mergeCell ref="E876:H876"/>
    <mergeCell ref="A878:C878"/>
    <mergeCell ref="E878:H878"/>
    <mergeCell ref="A879:C879"/>
    <mergeCell ref="E879:H879"/>
    <mergeCell ref="A881:C881"/>
    <mergeCell ref="E881:H881"/>
    <mergeCell ref="A882:C882"/>
    <mergeCell ref="E882:H882"/>
    <mergeCell ref="A883:C883"/>
    <mergeCell ref="E883:H883"/>
    <mergeCell ref="B765:C765"/>
    <mergeCell ref="E765:G765"/>
    <mergeCell ref="B770:C770"/>
    <mergeCell ref="E770:G770"/>
    <mergeCell ref="A771:C771"/>
    <mergeCell ref="E771:H771"/>
    <mergeCell ref="A773:C773"/>
    <mergeCell ref="E773:H773"/>
    <mergeCell ref="B775:C775"/>
    <mergeCell ref="E775:G775"/>
    <mergeCell ref="B780:C780"/>
    <mergeCell ref="E780:G780"/>
    <mergeCell ref="A781:C781"/>
    <mergeCell ref="E781:H781"/>
    <mergeCell ref="A789:C789"/>
    <mergeCell ref="E789:H789"/>
    <mergeCell ref="A790:C790"/>
    <mergeCell ref="E790:H790"/>
    <mergeCell ref="A714:C714"/>
    <mergeCell ref="E714:H714"/>
    <mergeCell ref="A715:C715"/>
    <mergeCell ref="E715:H715"/>
    <mergeCell ref="B717:C717"/>
    <mergeCell ref="E717:G717"/>
    <mergeCell ref="A718:C718"/>
    <mergeCell ref="E718:H718"/>
    <mergeCell ref="B721:C721"/>
    <mergeCell ref="E721:G721"/>
    <mergeCell ref="B724:C724"/>
    <mergeCell ref="E724:G724"/>
    <mergeCell ref="A725:C725"/>
    <mergeCell ref="E725:H725"/>
    <mergeCell ref="B727:C727"/>
    <mergeCell ref="E727:G727"/>
    <mergeCell ref="B733:C733"/>
    <mergeCell ref="E733:G733"/>
    <mergeCell ref="A684:C684"/>
    <mergeCell ref="E684:H684"/>
    <mergeCell ref="A686:C686"/>
    <mergeCell ref="E686:H686"/>
    <mergeCell ref="A687:C687"/>
    <mergeCell ref="E687:H687"/>
    <mergeCell ref="B691:C691"/>
    <mergeCell ref="E691:G691"/>
    <mergeCell ref="A692:C692"/>
    <mergeCell ref="E692:H692"/>
    <mergeCell ref="B694:C694"/>
    <mergeCell ref="E694:G694"/>
    <mergeCell ref="A695:C695"/>
    <mergeCell ref="E695:H695"/>
    <mergeCell ref="A697:C697"/>
    <mergeCell ref="E697:H697"/>
    <mergeCell ref="A698:C698"/>
    <mergeCell ref="E698:H698"/>
    <mergeCell ref="B603:C603"/>
    <mergeCell ref="E603:G603"/>
    <mergeCell ref="A604:C604"/>
    <mergeCell ref="E604:H604"/>
    <mergeCell ref="B606:C606"/>
    <mergeCell ref="E606:G606"/>
    <mergeCell ref="A607:C607"/>
    <mergeCell ref="E607:H607"/>
    <mergeCell ref="B609:C609"/>
    <mergeCell ref="E609:G609"/>
    <mergeCell ref="A610:C610"/>
    <mergeCell ref="E610:H610"/>
    <mergeCell ref="B612:C612"/>
    <mergeCell ref="E612:G612"/>
    <mergeCell ref="A613:C613"/>
    <mergeCell ref="E613:H613"/>
    <mergeCell ref="B615:C615"/>
    <mergeCell ref="E615:G615"/>
    <mergeCell ref="A2:J2"/>
    <mergeCell ref="E4:F4"/>
    <mergeCell ref="I4:J4"/>
    <mergeCell ref="A5:J5"/>
    <mergeCell ref="A7:D7"/>
    <mergeCell ref="E7:F7"/>
    <mergeCell ref="I7:J7"/>
    <mergeCell ref="A8:C8"/>
    <mergeCell ref="E8:F8"/>
    <mergeCell ref="I8:J8"/>
    <mergeCell ref="A2001:C2001"/>
    <mergeCell ref="A1993:C1993"/>
    <mergeCell ref="E1993:H1993"/>
    <mergeCell ref="B1992:C1992"/>
    <mergeCell ref="E1992:G1992"/>
    <mergeCell ref="A1982:C1982"/>
    <mergeCell ref="E1982:H1982"/>
    <mergeCell ref="A1986:C1986"/>
    <mergeCell ref="E1986:H1986"/>
    <mergeCell ref="A1987:C1987"/>
    <mergeCell ref="E1987:H1987"/>
    <mergeCell ref="A1968:C1968"/>
    <mergeCell ref="E1968:H1968"/>
    <mergeCell ref="A1969:C1969"/>
    <mergeCell ref="E1969:H1969"/>
    <mergeCell ref="A1973:C1973"/>
    <mergeCell ref="E1973:H1973"/>
    <mergeCell ref="B1975:C1975"/>
    <mergeCell ref="E1975:G1975"/>
    <mergeCell ref="A1976:C1976"/>
    <mergeCell ref="E1976:H1976"/>
    <mergeCell ref="B1954:C1954"/>
    <mergeCell ref="E1954:G1954"/>
    <mergeCell ref="A1955:C1955"/>
    <mergeCell ref="E1955:H1955"/>
    <mergeCell ref="A1961:C1961"/>
    <mergeCell ref="E1961:H1961"/>
    <mergeCell ref="A1964:C1964"/>
    <mergeCell ref="E1964:H1964"/>
    <mergeCell ref="A1956:C1956"/>
    <mergeCell ref="E1956:H1956"/>
    <mergeCell ref="A1957:C1957"/>
    <mergeCell ref="E1957:H1957"/>
    <mergeCell ref="B1959:C1959"/>
    <mergeCell ref="E1959:G1959"/>
    <mergeCell ref="A1960:C1960"/>
    <mergeCell ref="E1960:H1960"/>
    <mergeCell ref="A1962:C1962"/>
    <mergeCell ref="E1962:H1962"/>
    <mergeCell ref="A1963:C1963"/>
    <mergeCell ref="E1963:H1963"/>
    <mergeCell ref="B1966:C1966"/>
    <mergeCell ref="E1966:G1966"/>
    <mergeCell ref="A1946:C1946"/>
    <mergeCell ref="E1946:H1946"/>
    <mergeCell ref="A1952:C1952"/>
    <mergeCell ref="E1952:H1952"/>
    <mergeCell ref="A1945:C1945"/>
    <mergeCell ref="E1945:H1945"/>
    <mergeCell ref="A1947:C1947"/>
    <mergeCell ref="E1947:H1947"/>
    <mergeCell ref="A1948:C1948"/>
    <mergeCell ref="E1948:H1948"/>
    <mergeCell ref="B1950:C1950"/>
    <mergeCell ref="E1950:G1950"/>
    <mergeCell ref="A1951:C1951"/>
    <mergeCell ref="E1951:H1951"/>
    <mergeCell ref="A1933:C1933"/>
    <mergeCell ref="E1933:H1933"/>
    <mergeCell ref="A1939:C1939"/>
    <mergeCell ref="E1939:H1939"/>
    <mergeCell ref="A1921:C1921"/>
    <mergeCell ref="E1921:H1921"/>
    <mergeCell ref="B1923:C1923"/>
    <mergeCell ref="E1923:G1923"/>
    <mergeCell ref="A1924:C1924"/>
    <mergeCell ref="E1924:H1924"/>
    <mergeCell ref="A1927:C1927"/>
    <mergeCell ref="E1927:H1927"/>
    <mergeCell ref="B1920:C1920"/>
    <mergeCell ref="E1920:G1920"/>
    <mergeCell ref="B1926:C1926"/>
    <mergeCell ref="E1926:G1926"/>
    <mergeCell ref="A1908:C1908"/>
    <mergeCell ref="E1908:H1908"/>
    <mergeCell ref="A1913:C1913"/>
    <mergeCell ref="E1913:H1913"/>
    <mergeCell ref="A1914:C1914"/>
    <mergeCell ref="E1914:H1914"/>
    <mergeCell ref="A1917:C1917"/>
    <mergeCell ref="E1917:H1917"/>
    <mergeCell ref="A1909:C1909"/>
    <mergeCell ref="E1909:H1909"/>
    <mergeCell ref="A1910:C1910"/>
    <mergeCell ref="E1910:H1910"/>
    <mergeCell ref="B1912:C1912"/>
    <mergeCell ref="E1912:G1912"/>
    <mergeCell ref="A1915:C1915"/>
    <mergeCell ref="E1915:H1915"/>
    <mergeCell ref="A1916:C1916"/>
    <mergeCell ref="E1916:H1916"/>
    <mergeCell ref="B1898:C1898"/>
    <mergeCell ref="E1898:G1898"/>
    <mergeCell ref="A1899:C1899"/>
    <mergeCell ref="E1899:H1899"/>
    <mergeCell ref="A1900:C1900"/>
    <mergeCell ref="E1900:H1900"/>
    <mergeCell ref="A1901:C1901"/>
    <mergeCell ref="E1901:H1901"/>
    <mergeCell ref="A1902:C1902"/>
    <mergeCell ref="E1902:H1902"/>
    <mergeCell ref="A1906:C1906"/>
    <mergeCell ref="E1906:H1906"/>
    <mergeCell ref="A1907:C1907"/>
    <mergeCell ref="E1907:H1907"/>
    <mergeCell ref="A1903:C1903"/>
    <mergeCell ref="E1903:H1903"/>
    <mergeCell ref="B1905:C1905"/>
    <mergeCell ref="E1905:G1905"/>
    <mergeCell ref="A1887:C1887"/>
    <mergeCell ref="E1887:H1887"/>
    <mergeCell ref="A1888:C1888"/>
    <mergeCell ref="E1888:H1888"/>
    <mergeCell ref="A1889:C1889"/>
    <mergeCell ref="E1889:H1889"/>
    <mergeCell ref="A1893:C1893"/>
    <mergeCell ref="E1893:H1893"/>
    <mergeCell ref="A1894:C1894"/>
    <mergeCell ref="E1894:H1894"/>
    <mergeCell ref="A1895:C1895"/>
    <mergeCell ref="E1895:H1895"/>
    <mergeCell ref="A1896:C1896"/>
    <mergeCell ref="E1896:H1896"/>
    <mergeCell ref="B1891:C1891"/>
    <mergeCell ref="E1891:G1891"/>
    <mergeCell ref="A1892:C1892"/>
    <mergeCell ref="E1892:H1892"/>
    <mergeCell ref="B1873:C1873"/>
    <mergeCell ref="E1873:G1873"/>
    <mergeCell ref="A1874:C1874"/>
    <mergeCell ref="E1874:H1874"/>
    <mergeCell ref="A1877:C1877"/>
    <mergeCell ref="E1877:H1877"/>
    <mergeCell ref="A1882:C1882"/>
    <mergeCell ref="E1882:H1882"/>
    <mergeCell ref="A1883:C1883"/>
    <mergeCell ref="E1883:H1883"/>
    <mergeCell ref="B1885:C1885"/>
    <mergeCell ref="E1885:G1885"/>
    <mergeCell ref="A1886:C1886"/>
    <mergeCell ref="E1886:H1886"/>
    <mergeCell ref="A1875:C1875"/>
    <mergeCell ref="E1875:H1875"/>
    <mergeCell ref="A1876:C1876"/>
    <mergeCell ref="E1876:H1876"/>
    <mergeCell ref="B1879:C1879"/>
    <mergeCell ref="E1879:G1879"/>
    <mergeCell ref="A1880:C1880"/>
    <mergeCell ref="E1880:H1880"/>
    <mergeCell ref="A1881:C1881"/>
    <mergeCell ref="E1881:H1881"/>
    <mergeCell ref="A1863:C1863"/>
    <mergeCell ref="E1863:H1863"/>
    <mergeCell ref="A1866:C1866"/>
    <mergeCell ref="E1866:H1866"/>
    <mergeCell ref="B1868:C1868"/>
    <mergeCell ref="E1868:G1868"/>
    <mergeCell ref="A1869:C1869"/>
    <mergeCell ref="E1869:H1869"/>
    <mergeCell ref="B1861:C1861"/>
    <mergeCell ref="E1861:G1861"/>
    <mergeCell ref="A1862:C1862"/>
    <mergeCell ref="E1862:H1862"/>
    <mergeCell ref="A1864:C1864"/>
    <mergeCell ref="E1864:H1864"/>
    <mergeCell ref="A1865:C1865"/>
    <mergeCell ref="E1865:H1865"/>
    <mergeCell ref="A1870:C1870"/>
    <mergeCell ref="E1870:H1870"/>
    <mergeCell ref="A1871:C1871"/>
    <mergeCell ref="E1871:H1871"/>
    <mergeCell ref="B1834:C1834"/>
    <mergeCell ref="E1834:G1834"/>
    <mergeCell ref="A1835:C1835"/>
    <mergeCell ref="E1835:H1835"/>
    <mergeCell ref="B1837:C1837"/>
    <mergeCell ref="E1837:G1837"/>
    <mergeCell ref="A1838:C1838"/>
    <mergeCell ref="E1838:H1838"/>
    <mergeCell ref="B1840:C1840"/>
    <mergeCell ref="E1840:G1840"/>
    <mergeCell ref="A1841:C1841"/>
    <mergeCell ref="E1841:H1841"/>
    <mergeCell ref="B1843:C1843"/>
    <mergeCell ref="E1843:G1843"/>
    <mergeCell ref="A1844:C1844"/>
    <mergeCell ref="E1844:H1844"/>
    <mergeCell ref="B1831:C1831"/>
    <mergeCell ref="E1831:G1831"/>
    <mergeCell ref="A1832:C1832"/>
    <mergeCell ref="E1832:H1832"/>
    <mergeCell ref="B1818:C1818"/>
    <mergeCell ref="E1818:G1818"/>
    <mergeCell ref="A1819:C1819"/>
    <mergeCell ref="E1819:H1819"/>
    <mergeCell ref="B1822:C1822"/>
    <mergeCell ref="E1822:G1822"/>
    <mergeCell ref="A1823:C1823"/>
    <mergeCell ref="E1823:H1823"/>
    <mergeCell ref="B1825:C1825"/>
    <mergeCell ref="E1825:G1825"/>
    <mergeCell ref="A1826:C1826"/>
    <mergeCell ref="E1826:H1826"/>
    <mergeCell ref="B1828:C1828"/>
    <mergeCell ref="E1828:G1828"/>
    <mergeCell ref="A1829:C1829"/>
    <mergeCell ref="E1829:H1829"/>
    <mergeCell ref="B1809:C1809"/>
    <mergeCell ref="E1809:G1809"/>
    <mergeCell ref="A1810:C1810"/>
    <mergeCell ref="E1810:H1810"/>
    <mergeCell ref="B1812:C1812"/>
    <mergeCell ref="E1812:G1812"/>
    <mergeCell ref="A1813:C1813"/>
    <mergeCell ref="E1813:H1813"/>
    <mergeCell ref="B1815:C1815"/>
    <mergeCell ref="E1815:G1815"/>
    <mergeCell ref="A1816:C1816"/>
    <mergeCell ref="E1816:H1816"/>
    <mergeCell ref="B1805:C1805"/>
    <mergeCell ref="E1805:G1805"/>
    <mergeCell ref="A1806:C1806"/>
    <mergeCell ref="E1806:H1806"/>
    <mergeCell ref="B1802:C1802"/>
    <mergeCell ref="E1802:G1802"/>
    <mergeCell ref="A1803:C1803"/>
    <mergeCell ref="E1803:H1803"/>
    <mergeCell ref="B1778:C1778"/>
    <mergeCell ref="E1778:G1778"/>
    <mergeCell ref="A1779:C1779"/>
    <mergeCell ref="E1779:H1779"/>
    <mergeCell ref="B1781:C1781"/>
    <mergeCell ref="E1781:G1781"/>
    <mergeCell ref="A1782:C1782"/>
    <mergeCell ref="E1782:H1782"/>
    <mergeCell ref="B1784:C1784"/>
    <mergeCell ref="E1784:G1784"/>
    <mergeCell ref="A1785:C1785"/>
    <mergeCell ref="E1785:H1785"/>
    <mergeCell ref="B1787:C1787"/>
    <mergeCell ref="E1787:G1787"/>
    <mergeCell ref="B1763:C1763"/>
    <mergeCell ref="E1763:G1763"/>
    <mergeCell ref="A1764:C1764"/>
    <mergeCell ref="E1764:H1764"/>
    <mergeCell ref="B1766:C1766"/>
    <mergeCell ref="E1766:G1766"/>
    <mergeCell ref="A1767:C1767"/>
    <mergeCell ref="E1767:H1767"/>
    <mergeCell ref="B1769:C1769"/>
    <mergeCell ref="E1769:G1769"/>
    <mergeCell ref="A1770:C1770"/>
    <mergeCell ref="E1770:H1770"/>
    <mergeCell ref="B1772:C1772"/>
    <mergeCell ref="E1772:G1772"/>
    <mergeCell ref="A1773:C1773"/>
    <mergeCell ref="E1773:H1773"/>
    <mergeCell ref="B1775:C1775"/>
    <mergeCell ref="E1775:G1775"/>
    <mergeCell ref="A1776:C1776"/>
    <mergeCell ref="E1776:H1776"/>
    <mergeCell ref="B1754:C1754"/>
    <mergeCell ref="E1754:G1754"/>
    <mergeCell ref="A1755:C1755"/>
    <mergeCell ref="E1755:H1755"/>
    <mergeCell ref="B1757:C1757"/>
    <mergeCell ref="E1757:G1757"/>
    <mergeCell ref="A1758:C1758"/>
    <mergeCell ref="E1758:H1758"/>
    <mergeCell ref="B1760:C1760"/>
    <mergeCell ref="E1760:G1760"/>
    <mergeCell ref="A1761:C1761"/>
    <mergeCell ref="E1761:H1761"/>
    <mergeCell ref="B1748:C1748"/>
    <mergeCell ref="E1748:G1748"/>
    <mergeCell ref="A1749:C1749"/>
    <mergeCell ref="E1749:H1749"/>
    <mergeCell ref="B1751:C1751"/>
    <mergeCell ref="E1751:G1751"/>
    <mergeCell ref="A1752:C1752"/>
    <mergeCell ref="E1752:H1752"/>
    <mergeCell ref="B1735:C1735"/>
    <mergeCell ref="E1735:G1735"/>
    <mergeCell ref="A1736:C1736"/>
    <mergeCell ref="E1736:H1736"/>
    <mergeCell ref="B1738:C1738"/>
    <mergeCell ref="E1738:G1738"/>
    <mergeCell ref="A1739:C1739"/>
    <mergeCell ref="E1739:H1739"/>
    <mergeCell ref="B1741:C1741"/>
    <mergeCell ref="E1741:G1741"/>
    <mergeCell ref="A1742:C1742"/>
    <mergeCell ref="E1742:H1742"/>
    <mergeCell ref="B1744:C1744"/>
    <mergeCell ref="E1744:G1744"/>
    <mergeCell ref="A1745:C1745"/>
    <mergeCell ref="E1745:H1745"/>
    <mergeCell ref="B1729:C1729"/>
    <mergeCell ref="E1729:G1729"/>
    <mergeCell ref="A1730:C1730"/>
    <mergeCell ref="E1730:H1730"/>
    <mergeCell ref="B1732:C1732"/>
    <mergeCell ref="E1732:G1732"/>
    <mergeCell ref="A1733:C1733"/>
    <mergeCell ref="E1733:H1733"/>
    <mergeCell ref="B1722:C1722"/>
    <mergeCell ref="E1722:G1722"/>
    <mergeCell ref="A1723:C1723"/>
    <mergeCell ref="E1723:H1723"/>
    <mergeCell ref="B1725:C1725"/>
    <mergeCell ref="E1725:G1725"/>
    <mergeCell ref="A1726:C1726"/>
    <mergeCell ref="E1726:H1726"/>
    <mergeCell ref="A1720:C1720"/>
    <mergeCell ref="E1720:H1720"/>
    <mergeCell ref="A1693:C1693"/>
    <mergeCell ref="E1693:H1693"/>
    <mergeCell ref="B1695:C1695"/>
    <mergeCell ref="E1695:G1695"/>
    <mergeCell ref="A1696:C1696"/>
    <mergeCell ref="E1696:H1696"/>
    <mergeCell ref="B1683:C1683"/>
    <mergeCell ref="E1683:G1683"/>
    <mergeCell ref="A1684:C1684"/>
    <mergeCell ref="E1684:H1684"/>
    <mergeCell ref="B1686:C1686"/>
    <mergeCell ref="E1686:G1686"/>
    <mergeCell ref="A1687:C1687"/>
    <mergeCell ref="E1687:H1687"/>
    <mergeCell ref="B1689:C1689"/>
    <mergeCell ref="E1689:G1689"/>
    <mergeCell ref="A1690:C1690"/>
    <mergeCell ref="E1690:H1690"/>
    <mergeCell ref="B1692:C1692"/>
    <mergeCell ref="E1692:G1692"/>
    <mergeCell ref="B1667:C1667"/>
    <mergeCell ref="E1667:G1667"/>
    <mergeCell ref="A1668:C1668"/>
    <mergeCell ref="E1668:H1668"/>
    <mergeCell ref="B1670:C1670"/>
    <mergeCell ref="E1670:G1670"/>
    <mergeCell ref="A1671:C1671"/>
    <mergeCell ref="E1671:H1671"/>
    <mergeCell ref="B1664:C1664"/>
    <mergeCell ref="E1664:G1664"/>
    <mergeCell ref="A1665:C1665"/>
    <mergeCell ref="E1665:H1665"/>
    <mergeCell ref="B1674:C1674"/>
    <mergeCell ref="E1674:G1674"/>
    <mergeCell ref="A1675:C1675"/>
    <mergeCell ref="E1675:H1675"/>
    <mergeCell ref="B1677:C1677"/>
    <mergeCell ref="E1677:G1677"/>
    <mergeCell ref="B1637:C1637"/>
    <mergeCell ref="E1637:G1637"/>
    <mergeCell ref="A1638:C1638"/>
    <mergeCell ref="E1638:H1638"/>
    <mergeCell ref="B1642:C1642"/>
    <mergeCell ref="E1642:G1642"/>
    <mergeCell ref="A1643:C1643"/>
    <mergeCell ref="E1643:H1643"/>
    <mergeCell ref="B1645:C1645"/>
    <mergeCell ref="E1645:G1645"/>
    <mergeCell ref="A1646:C1646"/>
    <mergeCell ref="E1646:H1646"/>
    <mergeCell ref="B1648:C1648"/>
    <mergeCell ref="E1648:G1648"/>
    <mergeCell ref="B1622:C1622"/>
    <mergeCell ref="E1622:G1622"/>
    <mergeCell ref="A1623:C1623"/>
    <mergeCell ref="E1623:H1623"/>
    <mergeCell ref="B1625:C1625"/>
    <mergeCell ref="E1625:G1625"/>
    <mergeCell ref="A1626:C1626"/>
    <mergeCell ref="E1626:H1626"/>
    <mergeCell ref="B1628:C1628"/>
    <mergeCell ref="E1628:G1628"/>
    <mergeCell ref="A1629:C1629"/>
    <mergeCell ref="E1629:H1629"/>
    <mergeCell ref="B1631:C1631"/>
    <mergeCell ref="E1631:G1631"/>
    <mergeCell ref="A1632:C1632"/>
    <mergeCell ref="E1632:H1632"/>
    <mergeCell ref="B1634:C1634"/>
    <mergeCell ref="E1634:G1634"/>
    <mergeCell ref="A1635:C1635"/>
    <mergeCell ref="E1635:H1635"/>
    <mergeCell ref="A1608:C1608"/>
    <mergeCell ref="E1608:H1608"/>
    <mergeCell ref="B1610:C1610"/>
    <mergeCell ref="E1610:G1610"/>
    <mergeCell ref="A1611:C1611"/>
    <mergeCell ref="E1611:H1611"/>
    <mergeCell ref="B1613:C1613"/>
    <mergeCell ref="E1613:G1613"/>
    <mergeCell ref="A1614:C1614"/>
    <mergeCell ref="E1614:H1614"/>
    <mergeCell ref="B1616:C1616"/>
    <mergeCell ref="E1616:G1616"/>
    <mergeCell ref="A1617:C1617"/>
    <mergeCell ref="E1617:H1617"/>
    <mergeCell ref="B1619:C1619"/>
    <mergeCell ref="E1619:G1619"/>
    <mergeCell ref="A1620:C1620"/>
    <mergeCell ref="E1620:H1620"/>
    <mergeCell ref="B1607:C1607"/>
    <mergeCell ref="E1607:G1607"/>
    <mergeCell ref="B1582:C1582"/>
    <mergeCell ref="E1582:G1582"/>
    <mergeCell ref="A1583:C1583"/>
    <mergeCell ref="E1583:H1583"/>
    <mergeCell ref="B1585:C1585"/>
    <mergeCell ref="E1585:G1585"/>
    <mergeCell ref="A1586:C1586"/>
    <mergeCell ref="E1586:H1586"/>
    <mergeCell ref="B1588:C1588"/>
    <mergeCell ref="E1588:G1588"/>
    <mergeCell ref="A1589:C1589"/>
    <mergeCell ref="E1589:H1589"/>
    <mergeCell ref="B1591:C1591"/>
    <mergeCell ref="E1591:G1591"/>
    <mergeCell ref="B1573:C1573"/>
    <mergeCell ref="E1573:G1573"/>
    <mergeCell ref="A1574:C1574"/>
    <mergeCell ref="E1574:H1574"/>
    <mergeCell ref="B1576:C1576"/>
    <mergeCell ref="E1576:G1576"/>
    <mergeCell ref="A1577:C1577"/>
    <mergeCell ref="E1577:H1577"/>
    <mergeCell ref="B1579:C1579"/>
    <mergeCell ref="E1579:G1579"/>
    <mergeCell ref="A1580:C1580"/>
    <mergeCell ref="E1580:H1580"/>
    <mergeCell ref="B1561:C1561"/>
    <mergeCell ref="E1561:G1561"/>
    <mergeCell ref="A1562:C1562"/>
    <mergeCell ref="E1562:H1562"/>
    <mergeCell ref="B1564:C1564"/>
    <mergeCell ref="E1564:G1564"/>
    <mergeCell ref="A1565:C1565"/>
    <mergeCell ref="E1565:H1565"/>
    <mergeCell ref="B1543:C1543"/>
    <mergeCell ref="E1543:G1543"/>
    <mergeCell ref="A1544:C1544"/>
    <mergeCell ref="E1544:H1544"/>
    <mergeCell ref="B1546:C1546"/>
    <mergeCell ref="E1546:G1546"/>
    <mergeCell ref="A1547:C1547"/>
    <mergeCell ref="E1547:H1547"/>
    <mergeCell ref="B1549:C1549"/>
    <mergeCell ref="E1549:G1549"/>
    <mergeCell ref="A1550:C1550"/>
    <mergeCell ref="E1550:H1550"/>
    <mergeCell ref="B1552:C1552"/>
    <mergeCell ref="E1552:G1552"/>
    <mergeCell ref="A1502:C1502"/>
    <mergeCell ref="E1502:H1502"/>
    <mergeCell ref="B1504:C1504"/>
    <mergeCell ref="E1504:G1504"/>
    <mergeCell ref="A1505:C1505"/>
    <mergeCell ref="E1505:H1505"/>
    <mergeCell ref="B1507:C1507"/>
    <mergeCell ref="E1507:G1507"/>
    <mergeCell ref="A1508:C1508"/>
    <mergeCell ref="E1508:H1508"/>
    <mergeCell ref="B1510:C1510"/>
    <mergeCell ref="E1510:G1510"/>
    <mergeCell ref="A1511:C1511"/>
    <mergeCell ref="E1511:H1511"/>
    <mergeCell ref="B1495:C1495"/>
    <mergeCell ref="E1495:G1495"/>
    <mergeCell ref="A1496:C1496"/>
    <mergeCell ref="E1496:H1496"/>
    <mergeCell ref="B1498:C1498"/>
    <mergeCell ref="E1498:G1498"/>
    <mergeCell ref="A1499:C1499"/>
    <mergeCell ref="E1499:H1499"/>
    <mergeCell ref="B1501:C1501"/>
    <mergeCell ref="E1501:G1501"/>
    <mergeCell ref="B1476:C1476"/>
    <mergeCell ref="E1476:G1476"/>
    <mergeCell ref="A1477:C1477"/>
    <mergeCell ref="E1477:H1477"/>
    <mergeCell ref="B1479:C1479"/>
    <mergeCell ref="E1479:G1479"/>
    <mergeCell ref="A1480:C1480"/>
    <mergeCell ref="E1480:H1480"/>
    <mergeCell ref="B1482:C1482"/>
    <mergeCell ref="E1482:G1482"/>
    <mergeCell ref="A1483:C1483"/>
    <mergeCell ref="E1483:H1483"/>
    <mergeCell ref="B1485:C1485"/>
    <mergeCell ref="E1485:G1485"/>
    <mergeCell ref="B1473:C1473"/>
    <mergeCell ref="E1473:G1473"/>
    <mergeCell ref="A1474:C1474"/>
    <mergeCell ref="E1474:H1474"/>
    <mergeCell ref="B1449:C1449"/>
    <mergeCell ref="E1449:G1449"/>
    <mergeCell ref="A1450:C1450"/>
    <mergeCell ref="E1450:H1450"/>
    <mergeCell ref="B1452:C1452"/>
    <mergeCell ref="E1452:G1452"/>
    <mergeCell ref="A1453:C1453"/>
    <mergeCell ref="E1453:H1453"/>
    <mergeCell ref="B1455:C1455"/>
    <mergeCell ref="E1455:G1455"/>
    <mergeCell ref="A1456:C1456"/>
    <mergeCell ref="E1456:H1456"/>
    <mergeCell ref="B1458:C1458"/>
    <mergeCell ref="E1458:G1458"/>
    <mergeCell ref="B1446:C1446"/>
    <mergeCell ref="E1446:G1446"/>
    <mergeCell ref="A1447:C1447"/>
    <mergeCell ref="E1447:H1447"/>
    <mergeCell ref="B1422:C1422"/>
    <mergeCell ref="E1422:G1422"/>
    <mergeCell ref="A1423:C1423"/>
    <mergeCell ref="E1423:H1423"/>
    <mergeCell ref="B1425:C1425"/>
    <mergeCell ref="E1425:G1425"/>
    <mergeCell ref="A1426:C1426"/>
    <mergeCell ref="E1426:H1426"/>
    <mergeCell ref="B1428:C1428"/>
    <mergeCell ref="E1428:G1428"/>
    <mergeCell ref="A1429:C1429"/>
    <mergeCell ref="E1429:H1429"/>
    <mergeCell ref="B1431:C1431"/>
    <mergeCell ref="E1431:G1431"/>
    <mergeCell ref="B1419:C1419"/>
    <mergeCell ref="E1419:G1419"/>
    <mergeCell ref="A1420:C1420"/>
    <mergeCell ref="E1420:H1420"/>
    <mergeCell ref="B1395:C1395"/>
    <mergeCell ref="E1395:G1395"/>
    <mergeCell ref="A1396:C1396"/>
    <mergeCell ref="E1396:H1396"/>
    <mergeCell ref="B1398:C1398"/>
    <mergeCell ref="E1398:G1398"/>
    <mergeCell ref="A1399:C1399"/>
    <mergeCell ref="E1399:H1399"/>
    <mergeCell ref="B1401:C1401"/>
    <mergeCell ref="E1401:G1401"/>
    <mergeCell ref="A1402:C1402"/>
    <mergeCell ref="E1402:H1402"/>
    <mergeCell ref="B1404:C1404"/>
    <mergeCell ref="E1404:G1404"/>
    <mergeCell ref="B1392:C1392"/>
    <mergeCell ref="E1392:G1392"/>
    <mergeCell ref="A1393:C1393"/>
    <mergeCell ref="E1393:H1393"/>
    <mergeCell ref="B1368:C1368"/>
    <mergeCell ref="E1368:G1368"/>
    <mergeCell ref="A1369:C1369"/>
    <mergeCell ref="E1369:H1369"/>
    <mergeCell ref="B1371:C1371"/>
    <mergeCell ref="E1371:G1371"/>
    <mergeCell ref="A1372:C1372"/>
    <mergeCell ref="E1372:H1372"/>
    <mergeCell ref="B1374:C1374"/>
    <mergeCell ref="E1374:G1374"/>
    <mergeCell ref="A1375:C1375"/>
    <mergeCell ref="E1375:H1375"/>
    <mergeCell ref="B1377:C1377"/>
    <mergeCell ref="E1377:G1377"/>
    <mergeCell ref="B1365:C1365"/>
    <mergeCell ref="E1365:G1365"/>
    <mergeCell ref="A1366:C1366"/>
    <mergeCell ref="E1366:H1366"/>
    <mergeCell ref="A1325:C1325"/>
    <mergeCell ref="E1325:H1325"/>
    <mergeCell ref="B1329:C1329"/>
    <mergeCell ref="E1329:G1329"/>
    <mergeCell ref="A1330:C1330"/>
    <mergeCell ref="E1330:H1330"/>
    <mergeCell ref="B1332:C1332"/>
    <mergeCell ref="E1332:G1332"/>
    <mergeCell ref="A1333:C1333"/>
    <mergeCell ref="E1333:H1333"/>
    <mergeCell ref="B1335:C1335"/>
    <mergeCell ref="E1335:G1335"/>
    <mergeCell ref="A1336:C1336"/>
    <mergeCell ref="E1336:H1336"/>
    <mergeCell ref="B1311:C1311"/>
    <mergeCell ref="E1311:G1311"/>
    <mergeCell ref="A1312:C1312"/>
    <mergeCell ref="E1312:H1312"/>
    <mergeCell ref="B1314:C1314"/>
    <mergeCell ref="E1314:G1314"/>
    <mergeCell ref="A1315:C1315"/>
    <mergeCell ref="E1315:H1315"/>
    <mergeCell ref="B1317:C1317"/>
    <mergeCell ref="E1317:G1317"/>
    <mergeCell ref="A1318:C1318"/>
    <mergeCell ref="E1318:H1318"/>
    <mergeCell ref="A1322:C1322"/>
    <mergeCell ref="E1322:H1322"/>
    <mergeCell ref="B1324:C1324"/>
    <mergeCell ref="E1324:G1324"/>
    <mergeCell ref="B1320:C1320"/>
    <mergeCell ref="E1320:G1320"/>
    <mergeCell ref="A1321:C1321"/>
    <mergeCell ref="E1321:H1321"/>
    <mergeCell ref="A1297:C1297"/>
    <mergeCell ref="E1297:H1297"/>
    <mergeCell ref="B1299:C1299"/>
    <mergeCell ref="E1299:G1299"/>
    <mergeCell ref="A1300:C1300"/>
    <mergeCell ref="E1300:H1300"/>
    <mergeCell ref="B1302:C1302"/>
    <mergeCell ref="E1302:G1302"/>
    <mergeCell ref="A1303:C1303"/>
    <mergeCell ref="E1303:H1303"/>
    <mergeCell ref="B1305:C1305"/>
    <mergeCell ref="E1305:G1305"/>
    <mergeCell ref="A1306:C1306"/>
    <mergeCell ref="E1306:H1306"/>
    <mergeCell ref="B1308:C1308"/>
    <mergeCell ref="E1308:G1308"/>
    <mergeCell ref="A1309:C1309"/>
    <mergeCell ref="E1309:H1309"/>
    <mergeCell ref="B1296:C1296"/>
    <mergeCell ref="E1296:G1296"/>
    <mergeCell ref="B1271:C1271"/>
    <mergeCell ref="E1271:G1271"/>
    <mergeCell ref="A1272:C1272"/>
    <mergeCell ref="E1272:H1272"/>
    <mergeCell ref="B1274:C1274"/>
    <mergeCell ref="E1274:G1274"/>
    <mergeCell ref="A1275:C1275"/>
    <mergeCell ref="E1275:H1275"/>
    <mergeCell ref="B1277:C1277"/>
    <mergeCell ref="E1277:G1277"/>
    <mergeCell ref="A1278:C1278"/>
    <mergeCell ref="E1278:H1278"/>
    <mergeCell ref="B1280:C1280"/>
    <mergeCell ref="E1280:G1280"/>
    <mergeCell ref="B1265:C1265"/>
    <mergeCell ref="E1265:G1265"/>
    <mergeCell ref="A1266:C1266"/>
    <mergeCell ref="E1266:H1266"/>
    <mergeCell ref="B1268:C1268"/>
    <mergeCell ref="E1268:G1268"/>
    <mergeCell ref="A1269:C1269"/>
    <mergeCell ref="E1269:H1269"/>
    <mergeCell ref="B1241:C1241"/>
    <mergeCell ref="E1241:G1241"/>
    <mergeCell ref="A1242:C1242"/>
    <mergeCell ref="E1242:H1242"/>
    <mergeCell ref="B1244:C1244"/>
    <mergeCell ref="E1244:G1244"/>
    <mergeCell ref="A1245:C1245"/>
    <mergeCell ref="E1245:H1245"/>
    <mergeCell ref="B1247:C1247"/>
    <mergeCell ref="E1247:G1247"/>
    <mergeCell ref="A1248:C1248"/>
    <mergeCell ref="E1248:H1248"/>
    <mergeCell ref="B1250:C1250"/>
    <mergeCell ref="E1250:G1250"/>
    <mergeCell ref="B1227:C1227"/>
    <mergeCell ref="E1227:G1227"/>
    <mergeCell ref="A1228:C1228"/>
    <mergeCell ref="E1228:H1228"/>
    <mergeCell ref="B1232:C1232"/>
    <mergeCell ref="E1232:G1232"/>
    <mergeCell ref="A1233:C1233"/>
    <mergeCell ref="E1233:H1233"/>
    <mergeCell ref="B1235:C1235"/>
    <mergeCell ref="E1235:G1235"/>
    <mergeCell ref="A1236:C1236"/>
    <mergeCell ref="E1236:H1236"/>
    <mergeCell ref="B1238:C1238"/>
    <mergeCell ref="E1238:G1238"/>
    <mergeCell ref="A1239:C1239"/>
    <mergeCell ref="E1239:H1239"/>
    <mergeCell ref="B1224:C1224"/>
    <mergeCell ref="E1224:G1224"/>
    <mergeCell ref="A1225:C1225"/>
    <mergeCell ref="E1225:H1225"/>
    <mergeCell ref="B1199:C1199"/>
    <mergeCell ref="E1199:G1199"/>
    <mergeCell ref="A1200:C1200"/>
    <mergeCell ref="E1200:H1200"/>
    <mergeCell ref="B1202:C1202"/>
    <mergeCell ref="E1202:G1202"/>
    <mergeCell ref="A1203:C1203"/>
    <mergeCell ref="E1203:H1203"/>
    <mergeCell ref="B1205:C1205"/>
    <mergeCell ref="E1205:G1205"/>
    <mergeCell ref="A1206:C1206"/>
    <mergeCell ref="E1206:H1206"/>
    <mergeCell ref="B1208:C1208"/>
    <mergeCell ref="E1208:G1208"/>
    <mergeCell ref="A1182:C1182"/>
    <mergeCell ref="E1182:H1182"/>
    <mergeCell ref="B1184:C1184"/>
    <mergeCell ref="E1184:G1184"/>
    <mergeCell ref="A1185:C1185"/>
    <mergeCell ref="E1185:H1185"/>
    <mergeCell ref="B1172:C1172"/>
    <mergeCell ref="E1172:G1172"/>
    <mergeCell ref="A1173:C1173"/>
    <mergeCell ref="E1173:H1173"/>
    <mergeCell ref="B1175:C1175"/>
    <mergeCell ref="E1175:G1175"/>
    <mergeCell ref="A1176:C1176"/>
    <mergeCell ref="E1176:H1176"/>
    <mergeCell ref="B1178:C1178"/>
    <mergeCell ref="E1178:G1178"/>
    <mergeCell ref="A1179:C1179"/>
    <mergeCell ref="E1179:H1179"/>
    <mergeCell ref="B1181:C1181"/>
    <mergeCell ref="E1181:G1181"/>
    <mergeCell ref="B1156:C1156"/>
    <mergeCell ref="E1156:G1156"/>
    <mergeCell ref="A1157:C1157"/>
    <mergeCell ref="E1157:H1157"/>
    <mergeCell ref="B1159:C1159"/>
    <mergeCell ref="E1159:G1159"/>
    <mergeCell ref="A1160:C1160"/>
    <mergeCell ref="E1160:H1160"/>
    <mergeCell ref="B1162:C1162"/>
    <mergeCell ref="E1162:G1162"/>
    <mergeCell ref="A1163:C1163"/>
    <mergeCell ref="E1163:H1163"/>
    <mergeCell ref="B1165:C1165"/>
    <mergeCell ref="E1165:G1165"/>
    <mergeCell ref="A1154:C1154"/>
    <mergeCell ref="E1154:H1154"/>
    <mergeCell ref="B1138:C1138"/>
    <mergeCell ref="E1138:G1138"/>
    <mergeCell ref="A1139:C1139"/>
    <mergeCell ref="E1139:H1139"/>
    <mergeCell ref="B1111:C1111"/>
    <mergeCell ref="E1111:G1111"/>
    <mergeCell ref="A1112:C1112"/>
    <mergeCell ref="E1112:H1112"/>
    <mergeCell ref="B1114:C1114"/>
    <mergeCell ref="E1114:G1114"/>
    <mergeCell ref="A1115:C1115"/>
    <mergeCell ref="E1115:H1115"/>
    <mergeCell ref="B1117:C1117"/>
    <mergeCell ref="E1117:G1117"/>
    <mergeCell ref="A1118:C1118"/>
    <mergeCell ref="E1118:H1118"/>
    <mergeCell ref="B1120:C1120"/>
    <mergeCell ref="E1120:G1120"/>
    <mergeCell ref="A1121:C1121"/>
    <mergeCell ref="E1121:H1121"/>
    <mergeCell ref="B1123:C1123"/>
    <mergeCell ref="E1123:G1123"/>
    <mergeCell ref="A1097:C1097"/>
    <mergeCell ref="E1097:H1097"/>
    <mergeCell ref="B1099:C1099"/>
    <mergeCell ref="E1099:G1099"/>
    <mergeCell ref="A1100:C1100"/>
    <mergeCell ref="E1100:H1100"/>
    <mergeCell ref="B1102:C1102"/>
    <mergeCell ref="E1102:G1102"/>
    <mergeCell ref="A1103:C1103"/>
    <mergeCell ref="E1103:H1103"/>
    <mergeCell ref="B1105:C1105"/>
    <mergeCell ref="E1105:G1105"/>
    <mergeCell ref="A1106:C1106"/>
    <mergeCell ref="E1106:H1106"/>
    <mergeCell ref="B1108:C1108"/>
    <mergeCell ref="E1108:G1108"/>
    <mergeCell ref="A1109:C1109"/>
    <mergeCell ref="E1109:H1109"/>
    <mergeCell ref="B1083:C1083"/>
    <mergeCell ref="E1083:G1083"/>
    <mergeCell ref="A1084:C1084"/>
    <mergeCell ref="E1084:H1084"/>
    <mergeCell ref="B1086:C1086"/>
    <mergeCell ref="E1086:G1086"/>
    <mergeCell ref="A1087:C1087"/>
    <mergeCell ref="E1087:H1087"/>
    <mergeCell ref="B1096:C1096"/>
    <mergeCell ref="E1096:G1096"/>
    <mergeCell ref="B1090:C1090"/>
    <mergeCell ref="E1090:G1090"/>
    <mergeCell ref="A1091:C1091"/>
    <mergeCell ref="E1091:H1091"/>
    <mergeCell ref="A1069:C1069"/>
    <mergeCell ref="E1069:H1069"/>
    <mergeCell ref="B1071:C1071"/>
    <mergeCell ref="E1071:G1071"/>
    <mergeCell ref="A1072:C1072"/>
    <mergeCell ref="E1072:H1072"/>
    <mergeCell ref="B1074:C1074"/>
    <mergeCell ref="E1074:G1074"/>
    <mergeCell ref="A1075:C1075"/>
    <mergeCell ref="E1075:H1075"/>
    <mergeCell ref="B1077:C1077"/>
    <mergeCell ref="E1077:G1077"/>
    <mergeCell ref="A1078:C1078"/>
    <mergeCell ref="E1078:H1078"/>
    <mergeCell ref="B1080:C1080"/>
    <mergeCell ref="E1080:G1080"/>
    <mergeCell ref="A1081:C1081"/>
    <mergeCell ref="E1081:H1081"/>
    <mergeCell ref="B1068:C1068"/>
    <mergeCell ref="E1068:G1068"/>
    <mergeCell ref="B1043:C1043"/>
    <mergeCell ref="E1043:G1043"/>
    <mergeCell ref="A1044:C1044"/>
    <mergeCell ref="E1044:H1044"/>
    <mergeCell ref="B1046:C1046"/>
    <mergeCell ref="E1046:G1046"/>
    <mergeCell ref="A1047:C1047"/>
    <mergeCell ref="E1047:H1047"/>
    <mergeCell ref="B1049:C1049"/>
    <mergeCell ref="E1049:G1049"/>
    <mergeCell ref="A1050:C1050"/>
    <mergeCell ref="E1050:H1050"/>
    <mergeCell ref="B1052:C1052"/>
    <mergeCell ref="E1052:G1052"/>
    <mergeCell ref="B1040:C1040"/>
    <mergeCell ref="E1040:G1040"/>
    <mergeCell ref="A1041:C1041"/>
    <mergeCell ref="E1041:H1041"/>
    <mergeCell ref="B1016:C1016"/>
    <mergeCell ref="E1016:G1016"/>
    <mergeCell ref="A1017:C1017"/>
    <mergeCell ref="E1017:H1017"/>
    <mergeCell ref="B1019:C1019"/>
    <mergeCell ref="E1019:G1019"/>
    <mergeCell ref="A1020:C1020"/>
    <mergeCell ref="E1020:H1020"/>
    <mergeCell ref="B1022:C1022"/>
    <mergeCell ref="E1022:G1022"/>
    <mergeCell ref="A1023:C1023"/>
    <mergeCell ref="E1023:H1023"/>
    <mergeCell ref="B1025:C1025"/>
    <mergeCell ref="E1025:G1025"/>
    <mergeCell ref="A1014:C1014"/>
    <mergeCell ref="E1014:H1014"/>
    <mergeCell ref="A999:C999"/>
    <mergeCell ref="E999:H999"/>
    <mergeCell ref="A978:C978"/>
    <mergeCell ref="E978:H978"/>
    <mergeCell ref="B974:C974"/>
    <mergeCell ref="E974:G974"/>
    <mergeCell ref="A975:C975"/>
    <mergeCell ref="E975:H975"/>
    <mergeCell ref="B977:C977"/>
    <mergeCell ref="E977:G977"/>
    <mergeCell ref="B980:C980"/>
    <mergeCell ref="E980:G980"/>
    <mergeCell ref="A981:C981"/>
    <mergeCell ref="E981:H981"/>
    <mergeCell ref="B983:C983"/>
    <mergeCell ref="E983:G983"/>
    <mergeCell ref="A984:C984"/>
    <mergeCell ref="E984:H984"/>
    <mergeCell ref="A963:C963"/>
    <mergeCell ref="E963:H963"/>
    <mergeCell ref="A969:C969"/>
    <mergeCell ref="E969:H969"/>
    <mergeCell ref="B968:C968"/>
    <mergeCell ref="E968:G968"/>
    <mergeCell ref="B971:C971"/>
    <mergeCell ref="E971:G971"/>
    <mergeCell ref="A972:C972"/>
    <mergeCell ref="E972:H972"/>
    <mergeCell ref="B951:C951"/>
    <mergeCell ref="E951:G951"/>
    <mergeCell ref="A952:C952"/>
    <mergeCell ref="E952:H952"/>
    <mergeCell ref="A955:C955"/>
    <mergeCell ref="E955:H955"/>
    <mergeCell ref="A936:C936"/>
    <mergeCell ref="E936:H936"/>
    <mergeCell ref="A939:C939"/>
    <mergeCell ref="E939:H939"/>
    <mergeCell ref="A949:C949"/>
    <mergeCell ref="E949:H949"/>
    <mergeCell ref="A937:C937"/>
    <mergeCell ref="E937:H937"/>
    <mergeCell ref="A938:C938"/>
    <mergeCell ref="E938:H938"/>
    <mergeCell ref="A940:C940"/>
    <mergeCell ref="E940:H940"/>
    <mergeCell ref="B942:C942"/>
    <mergeCell ref="E942:G942"/>
    <mergeCell ref="A943:C943"/>
    <mergeCell ref="E943:H943"/>
    <mergeCell ref="A944:C944"/>
    <mergeCell ref="E944:H944"/>
    <mergeCell ref="A945:C945"/>
    <mergeCell ref="E945:H945"/>
    <mergeCell ref="A927:C927"/>
    <mergeCell ref="E927:H927"/>
    <mergeCell ref="A930:C930"/>
    <mergeCell ref="E930:H930"/>
    <mergeCell ref="B926:C926"/>
    <mergeCell ref="E926:G926"/>
    <mergeCell ref="B929:C929"/>
    <mergeCell ref="E929:G929"/>
    <mergeCell ref="B933:C933"/>
    <mergeCell ref="E933:G933"/>
    <mergeCell ref="A934:C934"/>
    <mergeCell ref="E934:H934"/>
    <mergeCell ref="A935:C935"/>
    <mergeCell ref="E935:H935"/>
    <mergeCell ref="A914:C914"/>
    <mergeCell ref="E914:H914"/>
    <mergeCell ref="A917:C917"/>
    <mergeCell ref="E917:H917"/>
    <mergeCell ref="A924:C924"/>
    <mergeCell ref="E924:H924"/>
    <mergeCell ref="B916:C916"/>
    <mergeCell ref="E916:G916"/>
    <mergeCell ref="B920:C920"/>
    <mergeCell ref="E920:G920"/>
    <mergeCell ref="A921:C921"/>
    <mergeCell ref="E921:H921"/>
    <mergeCell ref="B923:C923"/>
    <mergeCell ref="E923:G923"/>
    <mergeCell ref="A908:C908"/>
    <mergeCell ref="E908:H908"/>
    <mergeCell ref="A911:C911"/>
    <mergeCell ref="E911:H911"/>
    <mergeCell ref="B907:C907"/>
    <mergeCell ref="E907:G907"/>
    <mergeCell ref="B910:C910"/>
    <mergeCell ref="E910:G910"/>
    <mergeCell ref="B913:C913"/>
    <mergeCell ref="E913:G913"/>
    <mergeCell ref="A899:C899"/>
    <mergeCell ref="E899:H899"/>
    <mergeCell ref="A900:C900"/>
    <mergeCell ref="E900:H900"/>
    <mergeCell ref="A901:C901"/>
    <mergeCell ref="E901:H901"/>
    <mergeCell ref="A902:C902"/>
    <mergeCell ref="E902:H902"/>
    <mergeCell ref="A903:C903"/>
    <mergeCell ref="E903:H903"/>
    <mergeCell ref="A904:C904"/>
    <mergeCell ref="E904:H904"/>
    <mergeCell ref="A905:C905"/>
    <mergeCell ref="E905:H905"/>
    <mergeCell ref="B898:C898"/>
    <mergeCell ref="E898:G898"/>
    <mergeCell ref="A888:C888"/>
    <mergeCell ref="E888:H888"/>
    <mergeCell ref="A889:C889"/>
    <mergeCell ref="E889:H889"/>
    <mergeCell ref="A890:C890"/>
    <mergeCell ref="E890:H890"/>
    <mergeCell ref="A891:C891"/>
    <mergeCell ref="E891:H891"/>
    <mergeCell ref="A892:C892"/>
    <mergeCell ref="E892:H892"/>
    <mergeCell ref="A893:C893"/>
    <mergeCell ref="E893:H893"/>
    <mergeCell ref="A896:C896"/>
    <mergeCell ref="E896:H896"/>
    <mergeCell ref="B895:C895"/>
    <mergeCell ref="E895:G895"/>
    <mergeCell ref="A873:C873"/>
    <mergeCell ref="E873:H873"/>
    <mergeCell ref="A877:C877"/>
    <mergeCell ref="E877:H877"/>
    <mergeCell ref="A880:C880"/>
    <mergeCell ref="E880:H880"/>
    <mergeCell ref="A885:C885"/>
    <mergeCell ref="E885:H885"/>
    <mergeCell ref="A886:C886"/>
    <mergeCell ref="E886:H886"/>
    <mergeCell ref="A887:C887"/>
    <mergeCell ref="E887:H887"/>
    <mergeCell ref="A884:C884"/>
    <mergeCell ref="E884:H884"/>
    <mergeCell ref="A860:C860"/>
    <mergeCell ref="E860:H860"/>
    <mergeCell ref="A861:C861"/>
    <mergeCell ref="E861:H861"/>
    <mergeCell ref="A864:C864"/>
    <mergeCell ref="E864:H864"/>
    <mergeCell ref="A867:C867"/>
    <mergeCell ref="E867:H867"/>
    <mergeCell ref="A870:C870"/>
    <mergeCell ref="E870:H870"/>
    <mergeCell ref="A862:C862"/>
    <mergeCell ref="E862:H862"/>
    <mergeCell ref="A863:C863"/>
    <mergeCell ref="E863:H863"/>
    <mergeCell ref="A865:C865"/>
    <mergeCell ref="E865:H865"/>
    <mergeCell ref="A866:C866"/>
    <mergeCell ref="E866:H866"/>
    <mergeCell ref="A868:C868"/>
    <mergeCell ref="E868:H868"/>
    <mergeCell ref="A869:C869"/>
    <mergeCell ref="E869:H869"/>
    <mergeCell ref="A871:C871"/>
    <mergeCell ref="E871:H871"/>
    <mergeCell ref="A848:C848"/>
    <mergeCell ref="E848:H848"/>
    <mergeCell ref="B851:C851"/>
    <mergeCell ref="E851:G851"/>
    <mergeCell ref="A852:C852"/>
    <mergeCell ref="E852:H852"/>
    <mergeCell ref="B854:C854"/>
    <mergeCell ref="E854:G854"/>
    <mergeCell ref="A855:C855"/>
    <mergeCell ref="E855:H855"/>
    <mergeCell ref="B859:C859"/>
    <mergeCell ref="E859:G859"/>
    <mergeCell ref="A839:C839"/>
    <mergeCell ref="E839:H839"/>
    <mergeCell ref="A842:C842"/>
    <mergeCell ref="E842:H842"/>
    <mergeCell ref="A845:C845"/>
    <mergeCell ref="E845:H845"/>
    <mergeCell ref="B841:C841"/>
    <mergeCell ref="E841:G841"/>
    <mergeCell ref="B844:C844"/>
    <mergeCell ref="E844:G844"/>
    <mergeCell ref="B847:C847"/>
    <mergeCell ref="E847:G847"/>
    <mergeCell ref="A832:C832"/>
    <mergeCell ref="E832:H832"/>
    <mergeCell ref="A835:C835"/>
    <mergeCell ref="E835:H835"/>
    <mergeCell ref="A836:C836"/>
    <mergeCell ref="E836:H836"/>
    <mergeCell ref="B831:C831"/>
    <mergeCell ref="E831:G831"/>
    <mergeCell ref="A833:C833"/>
    <mergeCell ref="E833:H833"/>
    <mergeCell ref="A834:C834"/>
    <mergeCell ref="E834:H834"/>
    <mergeCell ref="B838:C838"/>
    <mergeCell ref="E838:G838"/>
    <mergeCell ref="A820:C820"/>
    <mergeCell ref="E820:H820"/>
    <mergeCell ref="A821:C821"/>
    <mergeCell ref="E821:H821"/>
    <mergeCell ref="A822:C822"/>
    <mergeCell ref="E822:H822"/>
    <mergeCell ref="A823:C823"/>
    <mergeCell ref="E823:H823"/>
    <mergeCell ref="A824:C824"/>
    <mergeCell ref="E824:H824"/>
    <mergeCell ref="A825:C825"/>
    <mergeCell ref="E825:H825"/>
    <mergeCell ref="A828:C828"/>
    <mergeCell ref="E828:H828"/>
    <mergeCell ref="B827:C827"/>
    <mergeCell ref="E827:G827"/>
    <mergeCell ref="A811:C811"/>
    <mergeCell ref="E811:H811"/>
    <mergeCell ref="A812:C812"/>
    <mergeCell ref="E812:H812"/>
    <mergeCell ref="A813:C813"/>
    <mergeCell ref="E813:H813"/>
    <mergeCell ref="A814:C814"/>
    <mergeCell ref="E814:H814"/>
    <mergeCell ref="A815:C815"/>
    <mergeCell ref="E815:H815"/>
    <mergeCell ref="A816:C816"/>
    <mergeCell ref="E816:H816"/>
    <mergeCell ref="A817:C817"/>
    <mergeCell ref="E817:H817"/>
    <mergeCell ref="A818:C818"/>
    <mergeCell ref="E818:H818"/>
    <mergeCell ref="A819:C819"/>
    <mergeCell ref="E819:H819"/>
    <mergeCell ref="A798:C798"/>
    <mergeCell ref="E798:H798"/>
    <mergeCell ref="A801:C801"/>
    <mergeCell ref="E801:H801"/>
    <mergeCell ref="A806:C806"/>
    <mergeCell ref="E806:H806"/>
    <mergeCell ref="A807:C807"/>
    <mergeCell ref="E807:H807"/>
    <mergeCell ref="A810:C810"/>
    <mergeCell ref="E810:H810"/>
    <mergeCell ref="A799:C799"/>
    <mergeCell ref="E799:H799"/>
    <mergeCell ref="A800:C800"/>
    <mergeCell ref="E800:H800"/>
    <mergeCell ref="A802:C802"/>
    <mergeCell ref="E802:H802"/>
    <mergeCell ref="A803:C803"/>
    <mergeCell ref="E803:H803"/>
    <mergeCell ref="A804:C804"/>
    <mergeCell ref="E804:H804"/>
    <mergeCell ref="A805:C805"/>
    <mergeCell ref="E805:H805"/>
    <mergeCell ref="B809:C809"/>
    <mergeCell ref="E809:G809"/>
    <mergeCell ref="A787:C787"/>
    <mergeCell ref="E787:H787"/>
    <mergeCell ref="A788:C788"/>
    <mergeCell ref="E788:H788"/>
    <mergeCell ref="A791:C791"/>
    <mergeCell ref="E791:H791"/>
    <mergeCell ref="A792:C792"/>
    <mergeCell ref="E792:H792"/>
    <mergeCell ref="A793:C793"/>
    <mergeCell ref="E793:H793"/>
    <mergeCell ref="A796:C796"/>
    <mergeCell ref="E796:H796"/>
    <mergeCell ref="A797:C797"/>
    <mergeCell ref="E797:H797"/>
    <mergeCell ref="A794:C794"/>
    <mergeCell ref="E794:H794"/>
    <mergeCell ref="A795:C795"/>
    <mergeCell ref="E795:H795"/>
    <mergeCell ref="A782:C782"/>
    <mergeCell ref="E782:H782"/>
    <mergeCell ref="A783:C783"/>
    <mergeCell ref="E783:H783"/>
    <mergeCell ref="A784:C784"/>
    <mergeCell ref="E784:H784"/>
    <mergeCell ref="A785:C785"/>
    <mergeCell ref="E785:H785"/>
    <mergeCell ref="A786:C786"/>
    <mergeCell ref="E786:H786"/>
    <mergeCell ref="A766:C766"/>
    <mergeCell ref="E766:H766"/>
    <mergeCell ref="A767:C767"/>
    <mergeCell ref="E767:H767"/>
    <mergeCell ref="A768:C768"/>
    <mergeCell ref="E768:H768"/>
    <mergeCell ref="A772:C772"/>
    <mergeCell ref="E772:H772"/>
    <mergeCell ref="A776:C776"/>
    <mergeCell ref="E776:H776"/>
    <mergeCell ref="A753:C753"/>
    <mergeCell ref="E753:H753"/>
    <mergeCell ref="A759:C759"/>
    <mergeCell ref="E759:H759"/>
    <mergeCell ref="A763:C763"/>
    <mergeCell ref="E763:H763"/>
    <mergeCell ref="A754:C754"/>
    <mergeCell ref="E754:H754"/>
    <mergeCell ref="B756:C756"/>
    <mergeCell ref="E756:G756"/>
    <mergeCell ref="A757:C757"/>
    <mergeCell ref="E757:H757"/>
    <mergeCell ref="A758:C758"/>
    <mergeCell ref="E758:H758"/>
    <mergeCell ref="A760:C760"/>
    <mergeCell ref="E760:H760"/>
    <mergeCell ref="A761:C761"/>
    <mergeCell ref="E761:H761"/>
    <mergeCell ref="A762:C762"/>
    <mergeCell ref="E762:H762"/>
    <mergeCell ref="A739:C739"/>
    <mergeCell ref="E739:H739"/>
    <mergeCell ref="A740:C740"/>
    <mergeCell ref="E740:H740"/>
    <mergeCell ref="A743:C743"/>
    <mergeCell ref="E743:H743"/>
    <mergeCell ref="B746:C746"/>
    <mergeCell ref="E746:G746"/>
    <mergeCell ref="A747:C747"/>
    <mergeCell ref="E747:H747"/>
    <mergeCell ref="B749:C749"/>
    <mergeCell ref="E749:G749"/>
    <mergeCell ref="A750:C750"/>
    <mergeCell ref="E750:H750"/>
    <mergeCell ref="A741:C741"/>
    <mergeCell ref="E741:H741"/>
    <mergeCell ref="A742:C742"/>
    <mergeCell ref="E742:H742"/>
    <mergeCell ref="A744:C744"/>
    <mergeCell ref="E744:H744"/>
    <mergeCell ref="A751:C751"/>
    <mergeCell ref="E751:H751"/>
    <mergeCell ref="A752:C752"/>
    <mergeCell ref="E752:H752"/>
    <mergeCell ref="A728:C728"/>
    <mergeCell ref="E728:H728"/>
    <mergeCell ref="B730:C730"/>
    <mergeCell ref="E730:G730"/>
    <mergeCell ref="A731:C731"/>
    <mergeCell ref="E731:H731"/>
    <mergeCell ref="A738:C738"/>
    <mergeCell ref="E738:H738"/>
    <mergeCell ref="A734:C734"/>
    <mergeCell ref="E734:H734"/>
    <mergeCell ref="B737:C737"/>
    <mergeCell ref="E737:G737"/>
    <mergeCell ref="A722:C722"/>
    <mergeCell ref="E722:H722"/>
    <mergeCell ref="A702:C702"/>
    <mergeCell ref="E702:H702"/>
    <mergeCell ref="A711:C711"/>
    <mergeCell ref="E711:H711"/>
    <mergeCell ref="A712:C712"/>
    <mergeCell ref="E712:H712"/>
    <mergeCell ref="A713:C713"/>
    <mergeCell ref="E713:H713"/>
    <mergeCell ref="A703:C703"/>
    <mergeCell ref="E703:H703"/>
    <mergeCell ref="B705:C705"/>
    <mergeCell ref="E705:G705"/>
    <mergeCell ref="A706:C706"/>
    <mergeCell ref="E706:H706"/>
    <mergeCell ref="A707:C707"/>
    <mergeCell ref="E707:H707"/>
    <mergeCell ref="B710:C710"/>
    <mergeCell ref="E710:G710"/>
    <mergeCell ref="A688:C688"/>
    <mergeCell ref="E688:H688"/>
    <mergeCell ref="A696:C696"/>
    <mergeCell ref="E696:H696"/>
    <mergeCell ref="B700:C700"/>
    <mergeCell ref="E700:G700"/>
    <mergeCell ref="A701:C701"/>
    <mergeCell ref="E701:H701"/>
    <mergeCell ref="A685:C685"/>
    <mergeCell ref="E685:H685"/>
    <mergeCell ref="B673:C673"/>
    <mergeCell ref="E673:G673"/>
    <mergeCell ref="A674:C674"/>
    <mergeCell ref="E674:H674"/>
    <mergeCell ref="B676:C676"/>
    <mergeCell ref="E676:G676"/>
    <mergeCell ref="A677:C677"/>
    <mergeCell ref="E677:H677"/>
    <mergeCell ref="B679:C679"/>
    <mergeCell ref="E679:G679"/>
    <mergeCell ref="A680:C680"/>
    <mergeCell ref="E680:H680"/>
    <mergeCell ref="B683:C683"/>
    <mergeCell ref="E683:G683"/>
    <mergeCell ref="B659:C659"/>
    <mergeCell ref="E659:G659"/>
    <mergeCell ref="A660:C660"/>
    <mergeCell ref="E660:H660"/>
    <mergeCell ref="B662:C662"/>
    <mergeCell ref="E662:G662"/>
    <mergeCell ref="A663:C663"/>
    <mergeCell ref="E663:H663"/>
    <mergeCell ref="B665:C665"/>
    <mergeCell ref="E665:G665"/>
    <mergeCell ref="A666:C666"/>
    <mergeCell ref="E666:H666"/>
    <mergeCell ref="B670:C670"/>
    <mergeCell ref="E670:G670"/>
    <mergeCell ref="A671:C671"/>
    <mergeCell ref="E671:H671"/>
    <mergeCell ref="A644:C644"/>
    <mergeCell ref="E644:H644"/>
    <mergeCell ref="B653:C653"/>
    <mergeCell ref="E653:G653"/>
    <mergeCell ref="A654:C654"/>
    <mergeCell ref="E654:H654"/>
    <mergeCell ref="B656:C656"/>
    <mergeCell ref="E656:G656"/>
    <mergeCell ref="A657:C657"/>
    <mergeCell ref="E657:H657"/>
    <mergeCell ref="B646:C646"/>
    <mergeCell ref="E646:G646"/>
    <mergeCell ref="A647:C647"/>
    <mergeCell ref="E647:H647"/>
    <mergeCell ref="B649:C649"/>
    <mergeCell ref="E649:G649"/>
    <mergeCell ref="A650:C650"/>
    <mergeCell ref="E650:H650"/>
    <mergeCell ref="B631:C631"/>
    <mergeCell ref="E631:G631"/>
    <mergeCell ref="A632:C632"/>
    <mergeCell ref="E632:H632"/>
    <mergeCell ref="B634:C634"/>
    <mergeCell ref="E634:G634"/>
    <mergeCell ref="A635:C635"/>
    <mergeCell ref="E635:H635"/>
    <mergeCell ref="B637:C637"/>
    <mergeCell ref="E637:G637"/>
    <mergeCell ref="A638:C638"/>
    <mergeCell ref="E638:H638"/>
    <mergeCell ref="B640:C640"/>
    <mergeCell ref="E640:G640"/>
    <mergeCell ref="A641:C641"/>
    <mergeCell ref="E641:H641"/>
    <mergeCell ref="B643:C643"/>
    <mergeCell ref="E643:G643"/>
    <mergeCell ref="B619:C619"/>
    <mergeCell ref="E619:G619"/>
    <mergeCell ref="A620:C620"/>
    <mergeCell ref="E620:H620"/>
    <mergeCell ref="B622:C622"/>
    <mergeCell ref="E622:G622"/>
    <mergeCell ref="A623:C623"/>
    <mergeCell ref="E623:H623"/>
    <mergeCell ref="B625:C625"/>
    <mergeCell ref="E625:G625"/>
    <mergeCell ref="A626:C626"/>
    <mergeCell ref="E626:H626"/>
    <mergeCell ref="B628:C628"/>
    <mergeCell ref="E628:G628"/>
    <mergeCell ref="A629:C629"/>
    <mergeCell ref="E629:H629"/>
    <mergeCell ref="A616:C616"/>
    <mergeCell ref="E616:H616"/>
    <mergeCell ref="A589:C589"/>
    <mergeCell ref="E589:H589"/>
    <mergeCell ref="B591:C591"/>
    <mergeCell ref="E591:G591"/>
    <mergeCell ref="A592:C592"/>
    <mergeCell ref="E592:H592"/>
    <mergeCell ref="B594:C594"/>
    <mergeCell ref="E594:G594"/>
    <mergeCell ref="A595:C595"/>
    <mergeCell ref="E595:H595"/>
    <mergeCell ref="B597:C597"/>
    <mergeCell ref="E597:G597"/>
    <mergeCell ref="A598:C598"/>
    <mergeCell ref="E598:H598"/>
    <mergeCell ref="B600:C600"/>
    <mergeCell ref="E600:G600"/>
    <mergeCell ref="A601:C601"/>
    <mergeCell ref="E601:H601"/>
    <mergeCell ref="B576:C576"/>
    <mergeCell ref="E576:G576"/>
    <mergeCell ref="A577:C577"/>
    <mergeCell ref="E577:H577"/>
    <mergeCell ref="B579:C579"/>
    <mergeCell ref="E579:G579"/>
    <mergeCell ref="A580:C580"/>
    <mergeCell ref="E580:H580"/>
    <mergeCell ref="B582:C582"/>
    <mergeCell ref="E582:G582"/>
    <mergeCell ref="A583:C583"/>
    <mergeCell ref="E583:H583"/>
    <mergeCell ref="B585:C585"/>
    <mergeCell ref="E585:G585"/>
    <mergeCell ref="A586:C586"/>
    <mergeCell ref="E586:H586"/>
    <mergeCell ref="B588:C588"/>
    <mergeCell ref="E588:G588"/>
    <mergeCell ref="A561:C561"/>
    <mergeCell ref="E561:H561"/>
    <mergeCell ref="B563:C563"/>
    <mergeCell ref="E563:G563"/>
    <mergeCell ref="A564:C564"/>
    <mergeCell ref="E564:H564"/>
    <mergeCell ref="B573:C573"/>
    <mergeCell ref="E573:G573"/>
    <mergeCell ref="A574:C574"/>
    <mergeCell ref="E574:H574"/>
    <mergeCell ref="B566:C566"/>
    <mergeCell ref="E566:G566"/>
    <mergeCell ref="A567:C567"/>
    <mergeCell ref="E567:H567"/>
    <mergeCell ref="B569:C569"/>
    <mergeCell ref="E569:G569"/>
    <mergeCell ref="A570:C570"/>
    <mergeCell ref="E570:H570"/>
    <mergeCell ref="B548:C548"/>
    <mergeCell ref="E548:G548"/>
    <mergeCell ref="A549:C549"/>
    <mergeCell ref="E549:H549"/>
    <mergeCell ref="B551:C551"/>
    <mergeCell ref="E551:G551"/>
    <mergeCell ref="A552:C552"/>
    <mergeCell ref="E552:H552"/>
    <mergeCell ref="B554:C554"/>
    <mergeCell ref="E554:G554"/>
    <mergeCell ref="A555:C555"/>
    <mergeCell ref="E555:H555"/>
    <mergeCell ref="B557:C557"/>
    <mergeCell ref="E557:G557"/>
    <mergeCell ref="A558:C558"/>
    <mergeCell ref="E558:H558"/>
    <mergeCell ref="B560:C560"/>
    <mergeCell ref="E560:G560"/>
    <mergeCell ref="A533:C533"/>
    <mergeCell ref="E533:H533"/>
    <mergeCell ref="B535:C535"/>
    <mergeCell ref="E535:G535"/>
    <mergeCell ref="A536:C536"/>
    <mergeCell ref="E536:H536"/>
    <mergeCell ref="B542:C542"/>
    <mergeCell ref="E542:G542"/>
    <mergeCell ref="A543:C543"/>
    <mergeCell ref="E543:H543"/>
    <mergeCell ref="B545:C545"/>
    <mergeCell ref="E545:G545"/>
    <mergeCell ref="A546:C546"/>
    <mergeCell ref="E546:H546"/>
    <mergeCell ref="B539:C539"/>
    <mergeCell ref="E539:G539"/>
    <mergeCell ref="A540:C540"/>
    <mergeCell ref="E540:H540"/>
    <mergeCell ref="B520:C520"/>
    <mergeCell ref="E520:G520"/>
    <mergeCell ref="A521:C521"/>
    <mergeCell ref="E521:H521"/>
    <mergeCell ref="B523:C523"/>
    <mergeCell ref="E523:G523"/>
    <mergeCell ref="A524:C524"/>
    <mergeCell ref="E524:H524"/>
    <mergeCell ref="B526:C526"/>
    <mergeCell ref="E526:G526"/>
    <mergeCell ref="A527:C527"/>
    <mergeCell ref="E527:H527"/>
    <mergeCell ref="B529:C529"/>
    <mergeCell ref="E529:G529"/>
    <mergeCell ref="A530:C530"/>
    <mergeCell ref="E530:H530"/>
    <mergeCell ref="B532:C532"/>
    <mergeCell ref="E532:G532"/>
    <mergeCell ref="A505:C505"/>
    <mergeCell ref="E505:H505"/>
    <mergeCell ref="B507:C507"/>
    <mergeCell ref="E507:G507"/>
    <mergeCell ref="A508:C508"/>
    <mergeCell ref="E508:H508"/>
    <mergeCell ref="B510:C510"/>
    <mergeCell ref="E510:G510"/>
    <mergeCell ref="A511:C511"/>
    <mergeCell ref="E511:H511"/>
    <mergeCell ref="B514:C514"/>
    <mergeCell ref="E514:G514"/>
    <mergeCell ref="A515:C515"/>
    <mergeCell ref="E515:H515"/>
    <mergeCell ref="B517:C517"/>
    <mergeCell ref="E517:G517"/>
    <mergeCell ref="A518:C518"/>
    <mergeCell ref="E518:H518"/>
    <mergeCell ref="B492:C492"/>
    <mergeCell ref="E492:G492"/>
    <mergeCell ref="A493:C493"/>
    <mergeCell ref="E493:H493"/>
    <mergeCell ref="B495:C495"/>
    <mergeCell ref="E495:G495"/>
    <mergeCell ref="A496:C496"/>
    <mergeCell ref="E496:H496"/>
    <mergeCell ref="B498:C498"/>
    <mergeCell ref="E498:G498"/>
    <mergeCell ref="A499:C499"/>
    <mergeCell ref="E499:H499"/>
    <mergeCell ref="B501:C501"/>
    <mergeCell ref="E501:G501"/>
    <mergeCell ref="A502:C502"/>
    <mergeCell ref="E502:H502"/>
    <mergeCell ref="B504:C504"/>
    <mergeCell ref="E504:G504"/>
    <mergeCell ref="A478:C478"/>
    <mergeCell ref="E478:H478"/>
    <mergeCell ref="B480:C480"/>
    <mergeCell ref="E480:G480"/>
    <mergeCell ref="A481:C481"/>
    <mergeCell ref="E481:H481"/>
    <mergeCell ref="B483:C483"/>
    <mergeCell ref="E483:G483"/>
    <mergeCell ref="A484:C484"/>
    <mergeCell ref="E484:H484"/>
    <mergeCell ref="B486:C486"/>
    <mergeCell ref="E486:G486"/>
    <mergeCell ref="A487:C487"/>
    <mergeCell ref="E487:H487"/>
    <mergeCell ref="B489:C489"/>
    <mergeCell ref="E489:G489"/>
    <mergeCell ref="A490:C490"/>
    <mergeCell ref="E490:H490"/>
    <mergeCell ref="A464:C464"/>
    <mergeCell ref="E464:H464"/>
    <mergeCell ref="A465:C465"/>
    <mergeCell ref="E465:H465"/>
    <mergeCell ref="B467:C467"/>
    <mergeCell ref="E467:G467"/>
    <mergeCell ref="A468:C468"/>
    <mergeCell ref="E468:H468"/>
    <mergeCell ref="B470:C470"/>
    <mergeCell ref="E470:G470"/>
    <mergeCell ref="A471:C471"/>
    <mergeCell ref="E471:H471"/>
    <mergeCell ref="B474:C474"/>
    <mergeCell ref="E474:G474"/>
    <mergeCell ref="A475:C475"/>
    <mergeCell ref="E475:H475"/>
    <mergeCell ref="B477:C477"/>
    <mergeCell ref="E477:G477"/>
    <mergeCell ref="A451:C451"/>
    <mergeCell ref="E451:H451"/>
    <mergeCell ref="B453:C453"/>
    <mergeCell ref="E453:G453"/>
    <mergeCell ref="A454:C454"/>
    <mergeCell ref="E454:H454"/>
    <mergeCell ref="B456:C456"/>
    <mergeCell ref="E456:G456"/>
    <mergeCell ref="A457:C457"/>
    <mergeCell ref="E457:H457"/>
    <mergeCell ref="B459:C459"/>
    <mergeCell ref="E459:G459"/>
    <mergeCell ref="A460:C460"/>
    <mergeCell ref="E460:H460"/>
    <mergeCell ref="B462:C462"/>
    <mergeCell ref="E462:G462"/>
    <mergeCell ref="A463:C463"/>
    <mergeCell ref="E463:H463"/>
    <mergeCell ref="B439:C439"/>
    <mergeCell ref="E439:G439"/>
    <mergeCell ref="A440:C440"/>
    <mergeCell ref="E440:H440"/>
    <mergeCell ref="A441:C441"/>
    <mergeCell ref="E441:H441"/>
    <mergeCell ref="B443:C443"/>
    <mergeCell ref="E443:G443"/>
    <mergeCell ref="A444:C444"/>
    <mergeCell ref="E444:H444"/>
    <mergeCell ref="A445:C445"/>
    <mergeCell ref="E445:H445"/>
    <mergeCell ref="B447:C447"/>
    <mergeCell ref="E447:G447"/>
    <mergeCell ref="A448:C448"/>
    <mergeCell ref="E448:H448"/>
    <mergeCell ref="B450:C450"/>
    <mergeCell ref="E450:G450"/>
    <mergeCell ref="A424:C424"/>
    <mergeCell ref="E424:H424"/>
    <mergeCell ref="B426:C426"/>
    <mergeCell ref="E426:G426"/>
    <mergeCell ref="A427:C427"/>
    <mergeCell ref="E427:H427"/>
    <mergeCell ref="B429:C429"/>
    <mergeCell ref="E429:G429"/>
    <mergeCell ref="A430:C430"/>
    <mergeCell ref="E430:H430"/>
    <mergeCell ref="B432:C432"/>
    <mergeCell ref="E432:G432"/>
    <mergeCell ref="A433:C433"/>
    <mergeCell ref="E433:H433"/>
    <mergeCell ref="B435:C435"/>
    <mergeCell ref="E435:G435"/>
    <mergeCell ref="A436:C436"/>
    <mergeCell ref="E436:H436"/>
    <mergeCell ref="B410:C410"/>
    <mergeCell ref="E410:G410"/>
    <mergeCell ref="A411:C411"/>
    <mergeCell ref="E411:H411"/>
    <mergeCell ref="B413:C413"/>
    <mergeCell ref="E413:G413"/>
    <mergeCell ref="A414:C414"/>
    <mergeCell ref="E414:H414"/>
    <mergeCell ref="B417:C417"/>
    <mergeCell ref="E417:G417"/>
    <mergeCell ref="A418:C418"/>
    <mergeCell ref="E418:H418"/>
    <mergeCell ref="B420:C420"/>
    <mergeCell ref="E420:G420"/>
    <mergeCell ref="A421:C421"/>
    <mergeCell ref="E421:H421"/>
    <mergeCell ref="B423:C423"/>
    <mergeCell ref="E423:G423"/>
    <mergeCell ref="A397:C397"/>
    <mergeCell ref="E397:H397"/>
    <mergeCell ref="B399:C399"/>
    <mergeCell ref="E399:G399"/>
    <mergeCell ref="A400:C400"/>
    <mergeCell ref="E400:H400"/>
    <mergeCell ref="B402:C402"/>
    <mergeCell ref="E402:G402"/>
    <mergeCell ref="A403:C403"/>
    <mergeCell ref="E403:H403"/>
    <mergeCell ref="B405:C405"/>
    <mergeCell ref="E405:G405"/>
    <mergeCell ref="A406:C406"/>
    <mergeCell ref="E406:H406"/>
    <mergeCell ref="A407:C407"/>
    <mergeCell ref="E407:H407"/>
    <mergeCell ref="A408:C408"/>
    <mergeCell ref="E408:H408"/>
    <mergeCell ref="B384:C384"/>
    <mergeCell ref="E384:G384"/>
    <mergeCell ref="A385:C385"/>
    <mergeCell ref="E385:H385"/>
    <mergeCell ref="B387:C387"/>
    <mergeCell ref="E387:G387"/>
    <mergeCell ref="A388:C388"/>
    <mergeCell ref="E388:H388"/>
    <mergeCell ref="B390:C390"/>
    <mergeCell ref="E390:G390"/>
    <mergeCell ref="A391:C391"/>
    <mergeCell ref="E391:H391"/>
    <mergeCell ref="B393:C393"/>
    <mergeCell ref="E393:G393"/>
    <mergeCell ref="A394:C394"/>
    <mergeCell ref="E394:H394"/>
    <mergeCell ref="B396:C396"/>
    <mergeCell ref="E396:G396"/>
    <mergeCell ref="A369:C369"/>
    <mergeCell ref="E369:H369"/>
    <mergeCell ref="B371:C371"/>
    <mergeCell ref="E371:G371"/>
    <mergeCell ref="A372:C372"/>
    <mergeCell ref="E372:H372"/>
    <mergeCell ref="B375:C375"/>
    <mergeCell ref="E375:G375"/>
    <mergeCell ref="A376:C376"/>
    <mergeCell ref="E376:H376"/>
    <mergeCell ref="B378:C378"/>
    <mergeCell ref="E378:G378"/>
    <mergeCell ref="A379:C379"/>
    <mergeCell ref="E379:H379"/>
    <mergeCell ref="B381:C381"/>
    <mergeCell ref="E381:G381"/>
    <mergeCell ref="A382:C382"/>
    <mergeCell ref="E382:H382"/>
    <mergeCell ref="B357:C357"/>
    <mergeCell ref="E357:G357"/>
    <mergeCell ref="A358:C358"/>
    <mergeCell ref="E358:H358"/>
    <mergeCell ref="B360:C360"/>
    <mergeCell ref="E360:G360"/>
    <mergeCell ref="A361:C361"/>
    <mergeCell ref="E361:H361"/>
    <mergeCell ref="B363:C363"/>
    <mergeCell ref="E363:G363"/>
    <mergeCell ref="A364:C364"/>
    <mergeCell ref="E364:H364"/>
    <mergeCell ref="B366:C366"/>
    <mergeCell ref="E366:G366"/>
    <mergeCell ref="A367:C367"/>
    <mergeCell ref="E367:H367"/>
    <mergeCell ref="A368:C368"/>
    <mergeCell ref="E368:H368"/>
    <mergeCell ref="A344:C344"/>
    <mergeCell ref="E344:H344"/>
    <mergeCell ref="B346:C346"/>
    <mergeCell ref="E346:G346"/>
    <mergeCell ref="A347:C347"/>
    <mergeCell ref="E347:H347"/>
    <mergeCell ref="A348:C348"/>
    <mergeCell ref="E348:H348"/>
    <mergeCell ref="B350:C350"/>
    <mergeCell ref="E350:G350"/>
    <mergeCell ref="A351:C351"/>
    <mergeCell ref="E351:H351"/>
    <mergeCell ref="B353:C353"/>
    <mergeCell ref="E353:G353"/>
    <mergeCell ref="A354:C354"/>
    <mergeCell ref="E354:H354"/>
    <mergeCell ref="A355:C355"/>
    <mergeCell ref="E355:H355"/>
    <mergeCell ref="A329:C329"/>
    <mergeCell ref="E329:H329"/>
    <mergeCell ref="B331:C331"/>
    <mergeCell ref="E331:G331"/>
    <mergeCell ref="A332:C332"/>
    <mergeCell ref="E332:H332"/>
    <mergeCell ref="B334:C334"/>
    <mergeCell ref="E334:G334"/>
    <mergeCell ref="A335:C335"/>
    <mergeCell ref="E335:H335"/>
    <mergeCell ref="B337:C337"/>
    <mergeCell ref="E337:G337"/>
    <mergeCell ref="A338:C338"/>
    <mergeCell ref="E338:H338"/>
    <mergeCell ref="B342:C342"/>
    <mergeCell ref="E342:G342"/>
    <mergeCell ref="A343:C343"/>
    <mergeCell ref="E343:H343"/>
    <mergeCell ref="B316:C316"/>
    <mergeCell ref="E316:G316"/>
    <mergeCell ref="A317:C317"/>
    <mergeCell ref="E317:H317"/>
    <mergeCell ref="B319:C319"/>
    <mergeCell ref="E319:G319"/>
    <mergeCell ref="A320:C320"/>
    <mergeCell ref="E320:H320"/>
    <mergeCell ref="B322:C322"/>
    <mergeCell ref="E322:G322"/>
    <mergeCell ref="A323:C323"/>
    <mergeCell ref="E323:H323"/>
    <mergeCell ref="B325:C325"/>
    <mergeCell ref="E325:G325"/>
    <mergeCell ref="A326:C326"/>
    <mergeCell ref="E326:H326"/>
    <mergeCell ref="B328:C328"/>
    <mergeCell ref="E328:G328"/>
    <mergeCell ref="A302:C302"/>
    <mergeCell ref="E302:H302"/>
    <mergeCell ref="B304:C304"/>
    <mergeCell ref="E304:G304"/>
    <mergeCell ref="A305:C305"/>
    <mergeCell ref="E305:H305"/>
    <mergeCell ref="B307:C307"/>
    <mergeCell ref="E307:G307"/>
    <mergeCell ref="A308:C308"/>
    <mergeCell ref="E308:H308"/>
    <mergeCell ref="B310:C310"/>
    <mergeCell ref="E310:G310"/>
    <mergeCell ref="A311:C311"/>
    <mergeCell ref="E311:H311"/>
    <mergeCell ref="B313:C313"/>
    <mergeCell ref="E313:G313"/>
    <mergeCell ref="A314:C314"/>
    <mergeCell ref="E314:H314"/>
    <mergeCell ref="B288:C288"/>
    <mergeCell ref="E288:G288"/>
    <mergeCell ref="A289:C289"/>
    <mergeCell ref="E289:H289"/>
    <mergeCell ref="B291:C291"/>
    <mergeCell ref="E291:G291"/>
    <mergeCell ref="A292:C292"/>
    <mergeCell ref="E292:H292"/>
    <mergeCell ref="B294:C294"/>
    <mergeCell ref="E294:G294"/>
    <mergeCell ref="A295:C295"/>
    <mergeCell ref="E295:H295"/>
    <mergeCell ref="B298:C298"/>
    <mergeCell ref="E298:G298"/>
    <mergeCell ref="A299:C299"/>
    <mergeCell ref="E299:H299"/>
    <mergeCell ref="B301:C301"/>
    <mergeCell ref="E301:G301"/>
    <mergeCell ref="A274:C274"/>
    <mergeCell ref="E274:H274"/>
    <mergeCell ref="B276:C276"/>
    <mergeCell ref="E276:G276"/>
    <mergeCell ref="A277:C277"/>
    <mergeCell ref="E277:H277"/>
    <mergeCell ref="B279:C279"/>
    <mergeCell ref="E279:G279"/>
    <mergeCell ref="A280:C280"/>
    <mergeCell ref="E280:H280"/>
    <mergeCell ref="B282:C282"/>
    <mergeCell ref="E282:G282"/>
    <mergeCell ref="A283:C283"/>
    <mergeCell ref="E283:H283"/>
    <mergeCell ref="B285:C285"/>
    <mergeCell ref="E285:G285"/>
    <mergeCell ref="A286:C286"/>
    <mergeCell ref="E286:H286"/>
    <mergeCell ref="A260:C260"/>
    <mergeCell ref="E260:H260"/>
    <mergeCell ref="A261:C261"/>
    <mergeCell ref="E261:H261"/>
    <mergeCell ref="B263:C263"/>
    <mergeCell ref="E263:G263"/>
    <mergeCell ref="A264:C264"/>
    <mergeCell ref="E264:H264"/>
    <mergeCell ref="B266:C266"/>
    <mergeCell ref="E266:G266"/>
    <mergeCell ref="A267:C267"/>
    <mergeCell ref="E267:H267"/>
    <mergeCell ref="B269:C269"/>
    <mergeCell ref="E269:G269"/>
    <mergeCell ref="A270:C270"/>
    <mergeCell ref="E270:H270"/>
    <mergeCell ref="B273:C273"/>
    <mergeCell ref="E273:G273"/>
    <mergeCell ref="A247:C247"/>
    <mergeCell ref="E247:H247"/>
    <mergeCell ref="B249:C249"/>
    <mergeCell ref="E249:G249"/>
    <mergeCell ref="A250:C250"/>
    <mergeCell ref="E250:H250"/>
    <mergeCell ref="B252:C252"/>
    <mergeCell ref="E252:G252"/>
    <mergeCell ref="A253:C253"/>
    <mergeCell ref="E253:H253"/>
    <mergeCell ref="B255:C255"/>
    <mergeCell ref="E255:G255"/>
    <mergeCell ref="A256:C256"/>
    <mergeCell ref="E256:H256"/>
    <mergeCell ref="A257:C257"/>
    <mergeCell ref="E257:H257"/>
    <mergeCell ref="B259:C259"/>
    <mergeCell ref="E259:G259"/>
    <mergeCell ref="A236:C236"/>
    <mergeCell ref="E236:H236"/>
    <mergeCell ref="A237:C237"/>
    <mergeCell ref="E237:H237"/>
    <mergeCell ref="B239:C239"/>
    <mergeCell ref="E239:G239"/>
    <mergeCell ref="A240:C240"/>
    <mergeCell ref="E240:H240"/>
    <mergeCell ref="A241:C241"/>
    <mergeCell ref="E241:H241"/>
    <mergeCell ref="B243:C243"/>
    <mergeCell ref="E243:G243"/>
    <mergeCell ref="A244:C244"/>
    <mergeCell ref="E244:H244"/>
    <mergeCell ref="A245:C245"/>
    <mergeCell ref="E245:H245"/>
    <mergeCell ref="A246:C246"/>
    <mergeCell ref="E246:H246"/>
    <mergeCell ref="B224:C224"/>
    <mergeCell ref="E224:G224"/>
    <mergeCell ref="A225:C225"/>
    <mergeCell ref="E225:H225"/>
    <mergeCell ref="A226:C226"/>
    <mergeCell ref="E226:H226"/>
    <mergeCell ref="B228:C228"/>
    <mergeCell ref="E228:G228"/>
    <mergeCell ref="A229:C229"/>
    <mergeCell ref="E229:H229"/>
    <mergeCell ref="A230:C230"/>
    <mergeCell ref="E230:H230"/>
    <mergeCell ref="B232:C232"/>
    <mergeCell ref="E232:G232"/>
    <mergeCell ref="A233:C233"/>
    <mergeCell ref="E233:H233"/>
    <mergeCell ref="B235:C235"/>
    <mergeCell ref="E235:G235"/>
    <mergeCell ref="A212:C212"/>
    <mergeCell ref="E212:H212"/>
    <mergeCell ref="A213:C213"/>
    <mergeCell ref="E213:H213"/>
    <mergeCell ref="A214:C214"/>
    <mergeCell ref="E214:H214"/>
    <mergeCell ref="B216:C216"/>
    <mergeCell ref="E216:G216"/>
    <mergeCell ref="A217:C217"/>
    <mergeCell ref="E217:H217"/>
    <mergeCell ref="A218:C218"/>
    <mergeCell ref="E218:H218"/>
    <mergeCell ref="B220:C220"/>
    <mergeCell ref="E220:G220"/>
    <mergeCell ref="A221:C221"/>
    <mergeCell ref="E221:H221"/>
    <mergeCell ref="A222:C222"/>
    <mergeCell ref="E222:H222"/>
    <mergeCell ref="B198:C198"/>
    <mergeCell ref="E198:G198"/>
    <mergeCell ref="A199:C199"/>
    <mergeCell ref="E199:H199"/>
    <mergeCell ref="B201:C201"/>
    <mergeCell ref="E201:G201"/>
    <mergeCell ref="A202:C202"/>
    <mergeCell ref="E202:H202"/>
    <mergeCell ref="B204:C204"/>
    <mergeCell ref="E204:G204"/>
    <mergeCell ref="A205:C205"/>
    <mergeCell ref="E205:H205"/>
    <mergeCell ref="B207:C207"/>
    <mergeCell ref="E207:G207"/>
    <mergeCell ref="A208:C208"/>
    <mergeCell ref="E208:H208"/>
    <mergeCell ref="B211:C211"/>
    <mergeCell ref="E211:G211"/>
    <mergeCell ref="A184:C184"/>
    <mergeCell ref="E184:H184"/>
    <mergeCell ref="B186:C186"/>
    <mergeCell ref="E186:G186"/>
    <mergeCell ref="A187:C187"/>
    <mergeCell ref="E187:H187"/>
    <mergeCell ref="B189:C189"/>
    <mergeCell ref="E189:G189"/>
    <mergeCell ref="A190:C190"/>
    <mergeCell ref="E190:H190"/>
    <mergeCell ref="B192:C192"/>
    <mergeCell ref="E192:G192"/>
    <mergeCell ref="A193:C193"/>
    <mergeCell ref="E193:H193"/>
    <mergeCell ref="B195:C195"/>
    <mergeCell ref="E195:G195"/>
    <mergeCell ref="A196:C196"/>
    <mergeCell ref="E196:H196"/>
    <mergeCell ref="B169:C169"/>
    <mergeCell ref="E169:G169"/>
    <mergeCell ref="A170:C170"/>
    <mergeCell ref="E170:H170"/>
    <mergeCell ref="B174:C174"/>
    <mergeCell ref="E174:G174"/>
    <mergeCell ref="A175:C175"/>
    <mergeCell ref="E175:H175"/>
    <mergeCell ref="B177:C177"/>
    <mergeCell ref="E177:G177"/>
    <mergeCell ref="A178:C178"/>
    <mergeCell ref="E178:H178"/>
    <mergeCell ref="B180:C180"/>
    <mergeCell ref="E180:G180"/>
    <mergeCell ref="A181:C181"/>
    <mergeCell ref="E181:H181"/>
    <mergeCell ref="B183:C183"/>
    <mergeCell ref="E183:G183"/>
    <mergeCell ref="A155:C155"/>
    <mergeCell ref="E155:H155"/>
    <mergeCell ref="B157:C157"/>
    <mergeCell ref="E157:G157"/>
    <mergeCell ref="A158:C158"/>
    <mergeCell ref="E158:H158"/>
    <mergeCell ref="B160:C160"/>
    <mergeCell ref="E160:G160"/>
    <mergeCell ref="A161:C161"/>
    <mergeCell ref="E161:H161"/>
    <mergeCell ref="B163:C163"/>
    <mergeCell ref="E163:G163"/>
    <mergeCell ref="A164:C164"/>
    <mergeCell ref="E164:H164"/>
    <mergeCell ref="B166:C166"/>
    <mergeCell ref="E166:G166"/>
    <mergeCell ref="A167:C167"/>
    <mergeCell ref="E167:H167"/>
    <mergeCell ref="B142:C142"/>
    <mergeCell ref="E142:G142"/>
    <mergeCell ref="A143:C143"/>
    <mergeCell ref="E143:H143"/>
    <mergeCell ref="B145:C145"/>
    <mergeCell ref="E145:G145"/>
    <mergeCell ref="A146:C146"/>
    <mergeCell ref="E146:H146"/>
    <mergeCell ref="B148:C148"/>
    <mergeCell ref="E148:G148"/>
    <mergeCell ref="A149:C149"/>
    <mergeCell ref="E149:H149"/>
    <mergeCell ref="B151:C151"/>
    <mergeCell ref="E151:G151"/>
    <mergeCell ref="A152:C152"/>
    <mergeCell ref="E152:H152"/>
    <mergeCell ref="B154:C154"/>
    <mergeCell ref="E154:G154"/>
    <mergeCell ref="A128:C128"/>
    <mergeCell ref="E128:H128"/>
    <mergeCell ref="B130:C130"/>
    <mergeCell ref="E130:G130"/>
    <mergeCell ref="A131:C131"/>
    <mergeCell ref="E131:H131"/>
    <mergeCell ref="B133:C133"/>
    <mergeCell ref="E133:G133"/>
    <mergeCell ref="A134:C134"/>
    <mergeCell ref="E134:H134"/>
    <mergeCell ref="B136:C136"/>
    <mergeCell ref="E136:G136"/>
    <mergeCell ref="A137:C137"/>
    <mergeCell ref="E137:H137"/>
    <mergeCell ref="B139:C139"/>
    <mergeCell ref="E139:G139"/>
    <mergeCell ref="A140:C140"/>
    <mergeCell ref="E140:H140"/>
    <mergeCell ref="B113:C113"/>
    <mergeCell ref="E113:G113"/>
    <mergeCell ref="A114:C114"/>
    <mergeCell ref="E114:H114"/>
    <mergeCell ref="B116:C116"/>
    <mergeCell ref="E116:G116"/>
    <mergeCell ref="A117:C117"/>
    <mergeCell ref="E117:H117"/>
    <mergeCell ref="B120:C120"/>
    <mergeCell ref="E120:G120"/>
    <mergeCell ref="A121:C121"/>
    <mergeCell ref="E121:H121"/>
    <mergeCell ref="B123:C123"/>
    <mergeCell ref="E123:G123"/>
    <mergeCell ref="A124:C124"/>
    <mergeCell ref="E124:H124"/>
    <mergeCell ref="B127:C127"/>
    <mergeCell ref="E127:G127"/>
    <mergeCell ref="A98:C98"/>
    <mergeCell ref="E98:H98"/>
    <mergeCell ref="B100:C100"/>
    <mergeCell ref="E100:G100"/>
    <mergeCell ref="A101:C101"/>
    <mergeCell ref="E101:H101"/>
    <mergeCell ref="B103:C103"/>
    <mergeCell ref="E103:G103"/>
    <mergeCell ref="A104:C104"/>
    <mergeCell ref="E104:H104"/>
    <mergeCell ref="B106:C106"/>
    <mergeCell ref="E106:G106"/>
    <mergeCell ref="A107:C107"/>
    <mergeCell ref="E107:H107"/>
    <mergeCell ref="B110:C110"/>
    <mergeCell ref="E110:G110"/>
    <mergeCell ref="A111:C111"/>
    <mergeCell ref="E111:H111"/>
    <mergeCell ref="B84:C84"/>
    <mergeCell ref="E84:G84"/>
    <mergeCell ref="A85:C85"/>
    <mergeCell ref="E85:H85"/>
    <mergeCell ref="B87:C87"/>
    <mergeCell ref="E87:G87"/>
    <mergeCell ref="A88:C88"/>
    <mergeCell ref="E88:H88"/>
    <mergeCell ref="B90:C90"/>
    <mergeCell ref="E90:G90"/>
    <mergeCell ref="A91:C91"/>
    <mergeCell ref="E91:H91"/>
    <mergeCell ref="B93:C93"/>
    <mergeCell ref="E93:G93"/>
    <mergeCell ref="A94:C94"/>
    <mergeCell ref="E94:H94"/>
    <mergeCell ref="B97:C97"/>
    <mergeCell ref="E97:G97"/>
    <mergeCell ref="A69:C69"/>
    <mergeCell ref="E69:H69"/>
    <mergeCell ref="B71:C71"/>
    <mergeCell ref="E71:G71"/>
    <mergeCell ref="A72:C72"/>
    <mergeCell ref="E72:H72"/>
    <mergeCell ref="B75:C75"/>
    <mergeCell ref="E75:G75"/>
    <mergeCell ref="A76:C76"/>
    <mergeCell ref="E76:H76"/>
    <mergeCell ref="B78:C78"/>
    <mergeCell ref="E78:G78"/>
    <mergeCell ref="A79:C79"/>
    <mergeCell ref="E79:H79"/>
    <mergeCell ref="B81:C81"/>
    <mergeCell ref="E81:G81"/>
    <mergeCell ref="A82:C82"/>
    <mergeCell ref="E82:H82"/>
    <mergeCell ref="B56:C56"/>
    <mergeCell ref="E56:G56"/>
    <mergeCell ref="A57:C57"/>
    <mergeCell ref="E57:H57"/>
    <mergeCell ref="B59:C59"/>
    <mergeCell ref="E59:G59"/>
    <mergeCell ref="A60:C60"/>
    <mergeCell ref="E60:H60"/>
    <mergeCell ref="B62:C62"/>
    <mergeCell ref="E62:G62"/>
    <mergeCell ref="A63:C63"/>
    <mergeCell ref="E63:H63"/>
    <mergeCell ref="B65:C65"/>
    <mergeCell ref="E65:G65"/>
    <mergeCell ref="A66:C66"/>
    <mergeCell ref="E66:H66"/>
    <mergeCell ref="B68:C68"/>
    <mergeCell ref="E68:G68"/>
    <mergeCell ref="A37:C37"/>
    <mergeCell ref="E37:H37"/>
    <mergeCell ref="B41:C41"/>
    <mergeCell ref="E41:G41"/>
    <mergeCell ref="A42:C42"/>
    <mergeCell ref="E42:H42"/>
    <mergeCell ref="B44:C44"/>
    <mergeCell ref="E44:G44"/>
    <mergeCell ref="A45:C45"/>
    <mergeCell ref="E45:H45"/>
    <mergeCell ref="B47:C47"/>
    <mergeCell ref="E47:G47"/>
    <mergeCell ref="A48:C48"/>
    <mergeCell ref="E48:H48"/>
    <mergeCell ref="B50:C50"/>
    <mergeCell ref="E50:G50"/>
    <mergeCell ref="A51:C51"/>
    <mergeCell ref="E51:H51"/>
    <mergeCell ref="B15:C15"/>
    <mergeCell ref="E15:G15"/>
    <mergeCell ref="A16:C16"/>
    <mergeCell ref="E16:H16"/>
    <mergeCell ref="B18:C18"/>
    <mergeCell ref="E18:G18"/>
    <mergeCell ref="A19:C19"/>
    <mergeCell ref="E19:H19"/>
    <mergeCell ref="B21:C21"/>
    <mergeCell ref="E21:G21"/>
    <mergeCell ref="B2007:F2007"/>
    <mergeCell ref="A22:C22"/>
    <mergeCell ref="E22:H22"/>
    <mergeCell ref="B24:C24"/>
    <mergeCell ref="E24:G24"/>
    <mergeCell ref="A25:C25"/>
    <mergeCell ref="E25:H25"/>
    <mergeCell ref="B27:C27"/>
    <mergeCell ref="E27:G27"/>
    <mergeCell ref="A28:C28"/>
    <mergeCell ref="E28:H28"/>
    <mergeCell ref="B30:C30"/>
    <mergeCell ref="E30:G30"/>
    <mergeCell ref="A31:C31"/>
    <mergeCell ref="E31:H31"/>
    <mergeCell ref="B33:C33"/>
    <mergeCell ref="E33:G33"/>
    <mergeCell ref="A34:C34"/>
    <mergeCell ref="E34:H34"/>
    <mergeCell ref="B36:C36"/>
    <mergeCell ref="E36:G36"/>
  </mergeCells>
  <printOptions horizontalCentered="1"/>
  <pageMargins left="0.51181102362204722" right="0.51181102362204722" top="0.78740157480314965" bottom="0.59055118110236227" header="0.11811023622047245" footer="0.11811023622047245"/>
  <pageSetup paperSize="9" scale="75" fitToHeight="0" orientation="landscape" r:id="rId1"/>
  <headerFooter>
    <oddHeader>&amp;L&amp;G&amp;R&amp;G</oddHeader>
    <oddFooter>&amp;RPágina 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Orçamento Sintético</vt:lpstr>
      <vt:lpstr>'Orçamento Sintético'!Area_de_impressao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José Carlos de Assis</cp:lastModifiedBy>
  <cp:revision>0</cp:revision>
  <cp:lastPrinted>2024-07-11T13:28:41Z</cp:lastPrinted>
  <dcterms:created xsi:type="dcterms:W3CDTF">2024-05-10T14:04:33Z</dcterms:created>
  <dcterms:modified xsi:type="dcterms:W3CDTF">2024-07-11T13:52:20Z</dcterms:modified>
</cp:coreProperties>
</file>