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https://d.docs.live.net/36efb96dad0468b2/Documentos/2022 - CARLOS/TORITAMA/NOVOS/PROJ_PRAÇA DO PELADO/PROJ_COMPLETO Praça do Pelado_04.2023/"/>
    </mc:Choice>
  </mc:AlternateContent>
  <xr:revisionPtr revIDLastSave="1007" documentId="8_{4D8A9061-9F7D-4151-8F1A-6953FC21D903}" xr6:coauthVersionLast="47" xr6:coauthVersionMax="47" xr10:uidLastSave="{50F0D3B7-D018-4631-9683-0CA384F2A5A3}"/>
  <bookViews>
    <workbookView xWindow="-108" yWindow="-108" windowWidth="23256" windowHeight="12456" firstSheet="3" activeTab="6" xr2:uid="{00000000-000D-0000-FFFF-FFFF00000000}"/>
  </bookViews>
  <sheets>
    <sheet name="ANEXO-1_CÁLCULOS" sheetId="2" r:id="rId1"/>
    <sheet name="ANEXO-2-BDI NÃO DESONERADO" sheetId="17" r:id="rId2"/>
    <sheet name="ANEXO-3_COMPOSIÇÕES" sheetId="28" r:id="rId3"/>
    <sheet name="ANEXO-4_COTAÇÕES" sheetId="9" r:id="rId4"/>
    <sheet name="ANEXO-5_ORÇAMENTO" sheetId="24" r:id="rId5"/>
    <sheet name="ANEXO-6 CRONOGRAMA" sheetId="26" r:id="rId6"/>
    <sheet name="ANEXO-7_CURVA ABC" sheetId="25" r:id="rId7"/>
    <sheet name="ANEXO-8 ENCARGOS SOCIAIS DE REF" sheetId="30" r:id="rId8"/>
  </sheets>
  <externalReferences>
    <externalReference r:id="rId9"/>
    <externalReference r:id="rId10"/>
    <externalReference r:id="rId11"/>
    <externalReference r:id="rId12"/>
  </externalReferences>
  <definedNames>
    <definedName name="_xlnm.Print_Area" localSheetId="0">'ANEXO-1_CÁLCULOS'!$A$1:$K$252</definedName>
    <definedName name="_xlnm.Print_Area" localSheetId="1">'ANEXO-2-BDI NÃO DESONERADO'!$J$10:$S$220</definedName>
    <definedName name="_xlnm.Print_Area" localSheetId="2">'ANEXO-3_COMPOSIÇÕES'!$A$1:$H$77</definedName>
    <definedName name="_xlnm.Print_Area" localSheetId="3">'ANEXO-4_COTAÇÕES'!$A$1:$G$71</definedName>
    <definedName name="_xlnm.Print_Area" localSheetId="4">'ANEXO-5_ORÇAMENTO'!$A$1:$J$88</definedName>
    <definedName name="_xlnm.Print_Area" localSheetId="5">'ANEXO-6 CRONOGRAMA'!$A$1:$G$83</definedName>
    <definedName name="_xlnm.Print_Area" localSheetId="6">'ANEXO-7_CURVA ABC'!$A$1:$I$71</definedName>
    <definedName name="_xlnm.Print_Area" localSheetId="7">'ANEXO-8 ENCARGOS SOCIAIS DE REF'!$A$1:$O$75</definedName>
    <definedName name="BDI" hidden="1">[1]DADOS!$F$5</definedName>
    <definedName name="BDI.Opcao" hidden="1">[2]DADOS!$F$18</definedName>
    <definedName name="BDI.TipoObra" hidden="1">[3]BDI!$A$138:$A$146</definedName>
    <definedName name="DESONERACAO" hidden="1">IF(OR(Import.Desoneracao="DESONERADO",Import.Desoneracao="SIM"),"SIM","NÃO")</definedName>
    <definedName name="DESONERACAOO" hidden="1">IF(OR(Import.Desoneracao="DESONERADO",Import.Desoneracao="SIM"),"SIM","NÃO")</definedName>
    <definedName name="DESONERADODIF" hidden="1">IF(OR(I="DESONERADO",I="SIM"),"SIM","NÃO")</definedName>
    <definedName name="E" hidden="1">[4]BDI!$A$138:$A$146</definedName>
    <definedName name="I" hidden="1">OFFSET([4]DADOS!$G$18,0,-1)</definedName>
    <definedName name="Import.Apelido" hidden="1">'[3]ANEXO-2-BDI NÃO DESONERADO'!$F$16</definedName>
    <definedName name="Import.CR" hidden="1">'[3]ANEXO-2-BDI NÃO DESONERADO'!$F$7</definedName>
    <definedName name="Import.DescLote" hidden="1">'[3]ANEXO-2-BDI NÃO DESONERADO'!$F$17</definedName>
    <definedName name="Import.Desoneracao" hidden="1">OFFSET('[3]ANEXO-2-BDI NÃO DESONERADO'!$G$18,0,-1)</definedName>
    <definedName name="Import.Município" hidden="1">'[3]ANEXO-2-BDI NÃO DESONERADO'!$F$6</definedName>
    <definedName name="Import.Proponente" hidden="1">'[3]ANEXO-2-BDI NÃO DESONERADO'!$F$5</definedName>
    <definedName name="Import.RespOrçamento" hidden="1">'[3]ANEXO-2-BDI NÃO DESONERADO'!$F$22:$F$24</definedName>
    <definedName name="Import.SICONV" hidden="1">'[3]ANEXO-2-BDI NÃO DESONERADO'!$F$8</definedName>
    <definedName name="_xlnm.Print_Titles" localSheetId="0">'ANEXO-1_CÁLCULOS'!$1:$11</definedName>
    <definedName name="_xlnm.Print_Titles" localSheetId="4">'ANEXO-5_ORÇAMENTO'!$1:$10</definedName>
    <definedName name="_xlnm.Print_Titles" localSheetId="5">'ANEXO-6 CRONOGRAMA'!$1:$10</definedName>
    <definedName name="_xlnm.Print_Titles" localSheetId="6">'ANEXO-7_CURVA ABC'!$1:$10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9" i="17" l="1"/>
  <c r="N216" i="17"/>
  <c r="J202" i="17"/>
  <c r="R202" i="17"/>
  <c r="J203" i="17"/>
  <c r="R203" i="17"/>
  <c r="J204" i="17"/>
  <c r="R204" i="17"/>
  <c r="J205" i="17"/>
  <c r="R205" i="17"/>
  <c r="J206" i="17"/>
  <c r="R206" i="17"/>
  <c r="S207" i="17"/>
  <c r="K20" i="2"/>
  <c r="K245" i="2"/>
  <c r="K244" i="2" s="1"/>
  <c r="I242" i="2"/>
  <c r="K242" i="2" s="1"/>
  <c r="K241" i="2" s="1"/>
  <c r="K239" i="2"/>
  <c r="K238" i="2" s="1"/>
  <c r="F23" i="9"/>
  <c r="E23" i="9"/>
  <c r="D23" i="9"/>
  <c r="K183" i="2"/>
  <c r="K181" i="2"/>
  <c r="H178" i="2"/>
  <c r="H176" i="2"/>
  <c r="K173" i="2"/>
  <c r="K172" i="2"/>
  <c r="K171" i="2"/>
  <c r="H170" i="2"/>
  <c r="K170" i="2" s="1"/>
  <c r="K169" i="2"/>
  <c r="H168" i="2"/>
  <c r="K168" i="2" s="1"/>
  <c r="K164" i="2"/>
  <c r="K163" i="2" s="1"/>
  <c r="G152" i="2"/>
  <c r="K144" i="2"/>
  <c r="K143" i="2" s="1"/>
  <c r="K114" i="2"/>
  <c r="G113" i="2"/>
  <c r="K113" i="2" s="1"/>
  <c r="K111" i="2"/>
  <c r="K109" i="2"/>
  <c r="K105" i="2"/>
  <c r="G104" i="2"/>
  <c r="K104" i="2" s="1"/>
  <c r="K102" i="2"/>
  <c r="K100" i="2"/>
  <c r="K95" i="2"/>
  <c r="L90" i="2"/>
  <c r="L96" i="2"/>
  <c r="G93" i="2"/>
  <c r="L93" i="2" s="1"/>
  <c r="K92" i="2"/>
  <c r="K89" i="2"/>
  <c r="K86" i="2"/>
  <c r="G87" i="2"/>
  <c r="K87" i="2" s="1"/>
  <c r="G85" i="2"/>
  <c r="K85" i="2" s="1"/>
  <c r="G84" i="2"/>
  <c r="K84" i="2" s="1"/>
  <c r="K81" i="2"/>
  <c r="K80" i="2" s="1"/>
  <c r="K78" i="2"/>
  <c r="K77" i="2" s="1"/>
  <c r="K98" i="2" l="1"/>
  <c r="K83" i="2"/>
  <c r="K107" i="2"/>
  <c r="K140" i="2" l="1"/>
  <c r="G139" i="2"/>
  <c r="K139" i="2" s="1"/>
  <c r="K138" i="2"/>
  <c r="G136" i="2"/>
  <c r="K136" i="2" s="1"/>
  <c r="G137" i="2"/>
  <c r="K137" i="2" s="1"/>
  <c r="K133" i="2"/>
  <c r="K132" i="2"/>
  <c r="K131" i="2"/>
  <c r="K130" i="2"/>
  <c r="H129" i="2"/>
  <c r="K129" i="2" s="1"/>
  <c r="K128" i="2"/>
  <c r="H127" i="2"/>
  <c r="K127" i="2" s="1"/>
  <c r="K124" i="2"/>
  <c r="K123" i="2"/>
  <c r="K75" i="2"/>
  <c r="K62" i="2"/>
  <c r="K63" i="2"/>
  <c r="K64" i="2"/>
  <c r="K65" i="2"/>
  <c r="K66" i="2"/>
  <c r="K61" i="2"/>
  <c r="K58" i="2"/>
  <c r="K57" i="2"/>
  <c r="K56" i="2"/>
  <c r="K55" i="2"/>
  <c r="K54" i="2"/>
  <c r="K53" i="2"/>
  <c r="K52" i="2"/>
  <c r="K51" i="2"/>
  <c r="K43" i="2"/>
  <c r="K44" i="2"/>
  <c r="K45" i="2"/>
  <c r="K46" i="2"/>
  <c r="K47" i="2"/>
  <c r="K42" i="2"/>
  <c r="K48" i="2"/>
  <c r="K39" i="2"/>
  <c r="K38" i="2"/>
  <c r="K17" i="2"/>
  <c r="K16" i="2" s="1"/>
  <c r="K14" i="2"/>
  <c r="E70" i="2"/>
  <c r="K135" i="2" l="1"/>
  <c r="K126" i="2"/>
  <c r="K60" i="2"/>
  <c r="K41" i="2"/>
  <c r="F13" i="9"/>
  <c r="E13" i="9"/>
  <c r="D13" i="9"/>
  <c r="G11" i="9"/>
  <c r="G14" i="9" s="1"/>
  <c r="K250" i="2" l="1"/>
  <c r="K247" i="2"/>
  <c r="K180" i="2"/>
  <c r="K179" i="2"/>
  <c r="K178" i="2"/>
  <c r="K177" i="2"/>
  <c r="K176" i="2"/>
  <c r="K160" i="2"/>
  <c r="K147" i="2"/>
  <c r="K146" i="2" s="1"/>
  <c r="K122" i="2"/>
  <c r="K121" i="2"/>
  <c r="E71" i="2" s="1"/>
  <c r="H120" i="2"/>
  <c r="K120" i="2" s="1"/>
  <c r="K119" i="2"/>
  <c r="H118" i="2"/>
  <c r="K118" i="2" s="1"/>
  <c r="K34" i="2"/>
  <c r="K35" i="2"/>
  <c r="K36" i="2"/>
  <c r="K37" i="2"/>
  <c r="K33" i="2"/>
  <c r="K13" i="2"/>
  <c r="K158" i="2"/>
  <c r="K157" i="2" s="1"/>
  <c r="K155" i="2"/>
  <c r="K154" i="2" s="1"/>
  <c r="K152" i="2"/>
  <c r="K151" i="2" s="1"/>
  <c r="K117" i="2" l="1"/>
  <c r="K32" i="2"/>
  <c r="E72" i="2" s="1"/>
  <c r="K50" i="2"/>
  <c r="E69" i="2" s="1"/>
  <c r="K175" i="2"/>
  <c r="K167" i="2"/>
  <c r="K74" i="2"/>
  <c r="K68" i="2" l="1"/>
  <c r="C28" i="17" l="1"/>
  <c r="K146" i="17" a="1"/>
  <c r="K147" i="17" s="1"/>
  <c r="J141" i="17"/>
  <c r="J136" i="17"/>
  <c r="J134" i="17"/>
  <c r="N131" i="17"/>
  <c r="S124" i="17"/>
  <c r="S123" i="17"/>
  <c r="S125" i="17" s="1"/>
  <c r="I148" i="17" s="1"/>
  <c r="R121" i="17"/>
  <c r="J121" i="17"/>
  <c r="R120" i="17"/>
  <c r="J120" i="17"/>
  <c r="R119" i="17"/>
  <c r="J119" i="17"/>
  <c r="R118" i="17"/>
  <c r="J118" i="17"/>
  <c r="R117" i="17"/>
  <c r="J117" i="17"/>
  <c r="K106" i="17" a="1"/>
  <c r="K106" i="17" s="1"/>
  <c r="J101" i="17"/>
  <c r="J96" i="17"/>
  <c r="J94" i="17"/>
  <c r="N91" i="17"/>
  <c r="S84" i="17"/>
  <c r="S83" i="17"/>
  <c r="S85" i="17" s="1"/>
  <c r="R81" i="17"/>
  <c r="J81" i="17"/>
  <c r="R80" i="17"/>
  <c r="J80" i="17"/>
  <c r="R79" i="17"/>
  <c r="J79" i="17"/>
  <c r="R78" i="17"/>
  <c r="J78" i="17"/>
  <c r="R77" i="17"/>
  <c r="J77" i="17"/>
  <c r="K66" i="17" a="1"/>
  <c r="K67" i="17" s="1"/>
  <c r="J61" i="17"/>
  <c r="A61" i="17"/>
  <c r="A62" i="17" s="1"/>
  <c r="C60" i="17"/>
  <c r="C59" i="17"/>
  <c r="C58" i="17"/>
  <c r="C57" i="17"/>
  <c r="J56" i="17"/>
  <c r="C56" i="17"/>
  <c r="C55" i="17"/>
  <c r="J54" i="17"/>
  <c r="C54" i="17"/>
  <c r="N51" i="17"/>
  <c r="A49" i="17"/>
  <c r="A50" i="17" s="1"/>
  <c r="C48" i="17"/>
  <c r="A43" i="17"/>
  <c r="C43" i="17" s="1"/>
  <c r="S42" i="17"/>
  <c r="C42" i="17"/>
  <c r="R41" i="17"/>
  <c r="J41" i="17"/>
  <c r="R40" i="17"/>
  <c r="J40" i="17"/>
  <c r="R39" i="17"/>
  <c r="J39" i="17"/>
  <c r="R38" i="17"/>
  <c r="J38" i="17"/>
  <c r="R37" i="17"/>
  <c r="J37" i="17"/>
  <c r="A37" i="17"/>
  <c r="C37" i="17" s="1"/>
  <c r="C36" i="17"/>
  <c r="A31" i="17"/>
  <c r="C31" i="17" s="1"/>
  <c r="C30" i="17"/>
  <c r="C29" i="17"/>
  <c r="C27" i="17"/>
  <c r="C26" i="17"/>
  <c r="C9" i="17"/>
  <c r="J8" i="17"/>
  <c r="C8" i="17"/>
  <c r="N5" i="17"/>
  <c r="L5" i="17"/>
  <c r="J5" i="17"/>
  <c r="A3" i="17"/>
  <c r="C3" i="17" s="1"/>
  <c r="C2" i="17"/>
  <c r="O1" i="17"/>
  <c r="K29" i="2"/>
  <c r="K28" i="2" s="1"/>
  <c r="A32" i="17" l="1"/>
  <c r="K107" i="17"/>
  <c r="K108" i="17"/>
  <c r="K148" i="17"/>
  <c r="K66" i="17"/>
  <c r="K68" i="17"/>
  <c r="C49" i="17"/>
  <c r="K146" i="17"/>
  <c r="A4" i="17"/>
  <c r="C4" i="17" s="1"/>
  <c r="P101" i="17"/>
  <c r="S126" i="17"/>
  <c r="I95" i="17"/>
  <c r="I89" i="17"/>
  <c r="I83" i="17"/>
  <c r="I76" i="17"/>
  <c r="I101" i="17"/>
  <c r="I82" i="17"/>
  <c r="I78" i="17"/>
  <c r="I75" i="17"/>
  <c r="I106" i="17"/>
  <c r="I100" i="17"/>
  <c r="I94" i="17"/>
  <c r="I74" i="17"/>
  <c r="I96" i="17"/>
  <c r="I90" i="17"/>
  <c r="I109" i="17"/>
  <c r="I105" i="17"/>
  <c r="I99" i="17"/>
  <c r="I93" i="17"/>
  <c r="I88" i="17"/>
  <c r="I79" i="17"/>
  <c r="I73" i="17"/>
  <c r="I102" i="17"/>
  <c r="I91" i="17"/>
  <c r="I84" i="17"/>
  <c r="I70" i="17"/>
  <c r="I108" i="17"/>
  <c r="I104" i="17"/>
  <c r="I98" i="17"/>
  <c r="I92" i="17"/>
  <c r="I87" i="17"/>
  <c r="I85" i="17"/>
  <c r="I72" i="17"/>
  <c r="I107" i="17"/>
  <c r="I103" i="17"/>
  <c r="I97" i="17"/>
  <c r="I80" i="17"/>
  <c r="I71" i="17"/>
  <c r="I86" i="17"/>
  <c r="I81" i="17"/>
  <c r="I77" i="17"/>
  <c r="A63" i="17"/>
  <c r="C62" i="17"/>
  <c r="A51" i="17"/>
  <c r="C50" i="17"/>
  <c r="I133" i="17"/>
  <c r="I146" i="17"/>
  <c r="C61" i="17"/>
  <c r="S86" i="17"/>
  <c r="I115" i="17"/>
  <c r="I118" i="17"/>
  <c r="I122" i="17"/>
  <c r="I141" i="17"/>
  <c r="I140" i="17"/>
  <c r="A44" i="17"/>
  <c r="I116" i="17"/>
  <c r="I123" i="17"/>
  <c r="I129" i="17"/>
  <c r="I135" i="17"/>
  <c r="I119" i="17"/>
  <c r="I139" i="17"/>
  <c r="I114" i="17"/>
  <c r="I134" i="17"/>
  <c r="P61" i="17"/>
  <c r="I117" i="17"/>
  <c r="I121" i="17"/>
  <c r="I130" i="17"/>
  <c r="I136" i="17"/>
  <c r="P141" i="17"/>
  <c r="I113" i="17"/>
  <c r="I128" i="17"/>
  <c r="I110" i="17"/>
  <c r="I124" i="17"/>
  <c r="I126" i="17"/>
  <c r="I131" i="17"/>
  <c r="I142" i="17"/>
  <c r="I145" i="17"/>
  <c r="A38" i="17"/>
  <c r="I111" i="17"/>
  <c r="I120" i="17"/>
  <c r="I137" i="17"/>
  <c r="I143" i="17"/>
  <c r="I147" i="17"/>
  <c r="I112" i="17"/>
  <c r="I125" i="17"/>
  <c r="I127" i="17"/>
  <c r="I132" i="17"/>
  <c r="I138" i="17"/>
  <c r="I144" i="17"/>
  <c r="A33" i="17" l="1"/>
  <c r="C32" i="17"/>
  <c r="A5" i="17"/>
  <c r="A6" i="17" s="1"/>
  <c r="A64" i="17"/>
  <c r="C63" i="17"/>
  <c r="C38" i="17"/>
  <c r="A39" i="17"/>
  <c r="A45" i="17"/>
  <c r="C44" i="17"/>
  <c r="A52" i="17"/>
  <c r="C51" i="17"/>
  <c r="C5" i="17" l="1"/>
  <c r="A34" i="17"/>
  <c r="C33" i="17"/>
  <c r="C45" i="17"/>
  <c r="A46" i="17"/>
  <c r="C39" i="17"/>
  <c r="A40" i="17"/>
  <c r="C6" i="17"/>
  <c r="A7" i="17"/>
  <c r="C7" i="17" s="1"/>
  <c r="Z40" i="17" s="1"/>
  <c r="A53" i="17"/>
  <c r="C53" i="17" s="1"/>
  <c r="C52" i="17"/>
  <c r="A65" i="17"/>
  <c r="C65" i="17" s="1"/>
  <c r="C64" i="17"/>
  <c r="C34" i="17" l="1"/>
  <c r="X41" i="17" s="1"/>
  <c r="S41" i="17" s="1"/>
  <c r="A35" i="17"/>
  <c r="C35" i="17" s="1"/>
  <c r="X40" i="17"/>
  <c r="S40" i="17" s="1"/>
  <c r="Z37" i="17"/>
  <c r="Y40" i="17"/>
  <c r="Y39" i="17"/>
  <c r="Y38" i="17"/>
  <c r="X37" i="17"/>
  <c r="S37" i="17" s="1"/>
  <c r="Y37" i="17"/>
  <c r="C40" i="17"/>
  <c r="A41" i="17"/>
  <c r="C41" i="17" s="1"/>
  <c r="Y41" i="17"/>
  <c r="Y45" i="17"/>
  <c r="Z45" i="17"/>
  <c r="X45" i="17"/>
  <c r="X39" i="17"/>
  <c r="S39" i="17" s="1"/>
  <c r="X38" i="17"/>
  <c r="S38" i="17" s="1"/>
  <c r="Z41" i="17"/>
  <c r="Z38" i="17"/>
  <c r="Z39" i="17"/>
  <c r="C46" i="17"/>
  <c r="A47" i="17"/>
  <c r="C47" i="17" s="1"/>
  <c r="X204" i="17" l="1"/>
  <c r="S204" i="17" s="1"/>
  <c r="X205" i="17"/>
  <c r="S205" i="17" s="1"/>
  <c r="Z205" i="17"/>
  <c r="Z203" i="17"/>
  <c r="Z204" i="17"/>
  <c r="Y205" i="17"/>
  <c r="X203" i="17"/>
  <c r="S203" i="17" s="1"/>
  <c r="Z206" i="17"/>
  <c r="X202" i="17"/>
  <c r="S202" i="17" s="1"/>
  <c r="X206" i="17"/>
  <c r="S206" i="17" s="1"/>
  <c r="Y206" i="17"/>
  <c r="Y210" i="17"/>
  <c r="Y203" i="17"/>
  <c r="Y204" i="17"/>
  <c r="Z210" i="17"/>
  <c r="Y202" i="17"/>
  <c r="Z202" i="17"/>
  <c r="X210" i="17"/>
  <c r="Z117" i="17"/>
  <c r="Y85" i="17"/>
  <c r="X85" i="17"/>
  <c r="Z119" i="17"/>
  <c r="Z120" i="17"/>
  <c r="Y119" i="17"/>
  <c r="Y81" i="17"/>
  <c r="Z79" i="17"/>
  <c r="Y125" i="17"/>
  <c r="X121" i="17"/>
  <c r="Z85" i="17"/>
  <c r="X125" i="17"/>
  <c r="X77" i="17"/>
  <c r="Z78" i="17"/>
  <c r="Z81" i="17"/>
  <c r="Z80" i="17"/>
  <c r="S43" i="17"/>
  <c r="S46" i="17" s="1"/>
  <c r="Y80" i="17"/>
  <c r="X79" i="17"/>
  <c r="Z121" i="17"/>
  <c r="Y117" i="17"/>
  <c r="Y78" i="17"/>
  <c r="X118" i="17"/>
  <c r="X117" i="17"/>
  <c r="X81" i="17"/>
  <c r="Z118" i="17"/>
  <c r="Y121" i="17"/>
  <c r="X78" i="17"/>
  <c r="X120" i="17"/>
  <c r="Y79" i="17"/>
  <c r="Z77" i="17"/>
  <c r="Z125" i="17"/>
  <c r="Y120" i="17"/>
  <c r="X80" i="17"/>
  <c r="X119" i="17"/>
  <c r="Y118" i="17"/>
  <c r="Y77" i="17"/>
  <c r="S208" i="17" l="1"/>
  <c r="S210" i="17" s="1"/>
  <c r="U210" i="17" s="1"/>
  <c r="U85" i="17"/>
  <c r="J88" i="17" s="1"/>
  <c r="U125" i="17"/>
  <c r="J128" i="17" s="1"/>
  <c r="S45" i="17"/>
  <c r="U45" i="17" s="1"/>
  <c r="J48" i="17" s="1"/>
  <c r="S211" i="17" l="1"/>
  <c r="J213" i="17"/>
  <c r="K213" i="17"/>
  <c r="K88" i="17"/>
  <c r="K128" i="17"/>
  <c r="K48" i="17"/>
  <c r="K22" i="2"/>
  <c r="K23" i="2"/>
  <c r="K24" i="2"/>
  <c r="K25" i="2"/>
  <c r="K26" i="2"/>
  <c r="K19" i="2" l="1"/>
  <c r="F25" i="9" l="1"/>
  <c r="E25" i="9"/>
  <c r="D25" i="9"/>
  <c r="G23" i="9"/>
  <c r="G2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100-000001000000}">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sharedStrings.xml><?xml version="1.0" encoding="utf-8"?>
<sst xmlns="http://schemas.openxmlformats.org/spreadsheetml/2006/main" count="2575" uniqueCount="1022">
  <si>
    <t>ITEM</t>
  </si>
  <si>
    <t>CÓDIGO</t>
  </si>
  <si>
    <t>FONTE</t>
  </si>
  <si>
    <t>DESCRIÇÃO DOS SERVIÇOS</t>
  </si>
  <si>
    <t>1.0</t>
  </si>
  <si>
    <t xml:space="preserve">SERVIÇOS PRELIMINARES </t>
  </si>
  <si>
    <t>1.1</t>
  </si>
  <si>
    <t>SINAPI</t>
  </si>
  <si>
    <t>m²</t>
  </si>
  <si>
    <t>2.0</t>
  </si>
  <si>
    <t>2.1</t>
  </si>
  <si>
    <t>m³</t>
  </si>
  <si>
    <t>2.2</t>
  </si>
  <si>
    <t>2.3</t>
  </si>
  <si>
    <t>2.4</t>
  </si>
  <si>
    <t>3.0</t>
  </si>
  <si>
    <t>3.1</t>
  </si>
  <si>
    <t>m</t>
  </si>
  <si>
    <t>3.2</t>
  </si>
  <si>
    <t>3.3</t>
  </si>
  <si>
    <t>4.0</t>
  </si>
  <si>
    <t>4.1</t>
  </si>
  <si>
    <t>4.2</t>
  </si>
  <si>
    <t>5.0</t>
  </si>
  <si>
    <t>5.1</t>
  </si>
  <si>
    <t>5.2</t>
  </si>
  <si>
    <t>6.0</t>
  </si>
  <si>
    <t>6.1</t>
  </si>
  <si>
    <t>6.2</t>
  </si>
  <si>
    <t>7.0</t>
  </si>
  <si>
    <t>7.1</t>
  </si>
  <si>
    <t>7.2</t>
  </si>
  <si>
    <t>PINTURA</t>
  </si>
  <si>
    <t>SERVIÇOS COMPLEMENTARES</t>
  </si>
  <si>
    <t>2.5</t>
  </si>
  <si>
    <t>DADOS P/ CÁLCULOS</t>
  </si>
  <si>
    <t>UNIDADE</t>
  </si>
  <si>
    <t>Largura</t>
  </si>
  <si>
    <t>Comp.</t>
  </si>
  <si>
    <t>Altura/Prof.</t>
  </si>
  <si>
    <t>Coef.</t>
  </si>
  <si>
    <t>COTAÇÃO</t>
  </si>
  <si>
    <t>COMPOSIÇÃO</t>
  </si>
  <si>
    <t>ORSE</t>
  </si>
  <si>
    <t>Rep.</t>
  </si>
  <si>
    <t>QUANTIDADE (TOTAL)</t>
  </si>
  <si>
    <t>MIN</t>
  </si>
  <si>
    <t>MED</t>
  </si>
  <si>
    <t>MAX</t>
  </si>
  <si>
    <t>Construção e Reforma de Edifícios</t>
  </si>
  <si>
    <t>AC</t>
  </si>
  <si>
    <t>SG</t>
  </si>
  <si>
    <t>R</t>
  </si>
  <si>
    <t>DF</t>
  </si>
  <si>
    <t>L</t>
  </si>
  <si>
    <t>FILTRO</t>
  </si>
  <si>
    <t>BDI PAD</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</si>
  <si>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</si>
  <si>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</si>
  <si>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</si>
  <si>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</si>
  <si>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</si>
  <si>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</si>
  <si>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TIPO DE OBRA</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</si>
  <si>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</si>
  <si>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</si>
  <si>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</si>
  <si>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</si>
  <si>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</si>
  <si>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</si>
  <si>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</si>
  <si>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</si>
  <si>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</si>
  <si>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</si>
  <si>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</si>
  <si>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</si>
  <si>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</si>
  <si>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</si>
  <si>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</si>
  <si>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</si>
  <si>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</si>
  <si>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</si>
  <si>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</si>
  <si>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</si>
  <si>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</si>
  <si>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</si>
  <si>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</si>
  <si>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Fornecimento de Materiais e Equipamentos (aquisição direta)</t>
  </si>
  <si>
    <t>Observações:</t>
  </si>
  <si>
    <t>Estudos e Projetos, Planos e Gerenciamento e outros correlatos</t>
  </si>
  <si>
    <t>K1</t>
  </si>
  <si>
    <t>K2</t>
  </si>
  <si>
    <t>Local</t>
  </si>
  <si>
    <t>K3</t>
  </si>
  <si>
    <t>CARPINTEIRO DE FORMAS COM ENCARGOS COMPLEMENTARES</t>
  </si>
  <si>
    <t>M²</t>
  </si>
  <si>
    <t>KG</t>
  </si>
  <si>
    <t>M</t>
  </si>
  <si>
    <t>SERVENTE COM ENCARGOS COMPLEMENTARES</t>
  </si>
  <si>
    <t>QTDE</t>
  </si>
  <si>
    <t xml:space="preserve">SOMA DOS ITENS </t>
  </si>
  <si>
    <t>SOMA DOS ITENS DE MENOR PREÇO</t>
  </si>
  <si>
    <t>H</t>
  </si>
  <si>
    <t>PEDREIRO COM ENCARGOS COMPLEMENTARES</t>
  </si>
  <si>
    <t>PLACA DE OBRA EM CHAPA DE AÇO GALVANIZADO.</t>
  </si>
  <si>
    <t>SINAPI-I</t>
  </si>
  <si>
    <t>5.3</t>
  </si>
  <si>
    <t>Grau de Sigilo</t>
  </si>
  <si>
    <t>#PUBLICO</t>
  </si>
  <si>
    <t>Nº OPERAÇÃO</t>
  </si>
  <si>
    <t>Nº SICONV</t>
  </si>
  <si>
    <t>PROPONENTE / TOMADOR</t>
  </si>
  <si>
    <t>APELIDO DO EMPREENDIMENTO / DESCRIÇÃO DO LOTE</t>
  </si>
  <si>
    <t>BDI 1</t>
  </si>
  <si>
    <t>(1-CP-ISS-CRPB)</t>
  </si>
  <si>
    <t>Data</t>
  </si>
  <si>
    <t>Responsável Técnico</t>
  </si>
  <si>
    <t>Nome:</t>
  </si>
  <si>
    <t>CREA/CAU:</t>
  </si>
  <si>
    <t>ART/RRT:</t>
  </si>
  <si>
    <t>BDI 2</t>
  </si>
  <si>
    <t>(SELECIONAR)</t>
  </si>
  <si>
    <t>BDI 3</t>
  </si>
  <si>
    <t>ANEXO-1 MEMÓRIA DE CÁLCULO - QUANTITATIVOS</t>
  </si>
  <si>
    <t>ANEXO-5 PLANILHA BÁSICA DE ORÇAMENTO</t>
  </si>
  <si>
    <t>2.6</t>
  </si>
  <si>
    <t>M³</t>
  </si>
  <si>
    <t>6.3</t>
  </si>
  <si>
    <t>6.4</t>
  </si>
  <si>
    <t>6.5</t>
  </si>
  <si>
    <t>ESCAVAÇÃO MANUAL DE VALA COM PROFUNDIDADE MENOR OU IGUAL A 1,30 M. AF_02/2021</t>
  </si>
  <si>
    <t>ALVENARIA DE VEDAÇÃO DE BLOCOS CERÂMICOS FURADOS NA HORIZONTAL DE 9X19X19 CM (ESPESSURA 9 CM) E ARGAMASSA DE ASSENTAMENTO COM PREPARO MANUAL. AF_12/2021</t>
  </si>
  <si>
    <t>EXECUÇÃO DE PASSEIO EM PISO INTERTRAVADO, COM BLOCO RETANGULAR COLORIDO DE 20 X 10 CM, ESPESSURA 6 CM. AF_12/2015</t>
  </si>
  <si>
    <t>COT. 001</t>
  </si>
  <si>
    <t>APLICAÇÃO MANUAL DE PINTURA COM TINTA LÁTEX ACRÍLICA EM PAREDES, DUAS DEMÃOS. AF_06/2014</t>
  </si>
  <si>
    <t>CONTRAPISO EM ARGAMASSA TRAÇO 1:4 (CIMENTO E AREIA), PREPARO MANUAL, APLICADO EM ÁREAS SECAS SOBRE LAJE, ADERIDO, ACABAMENTO NÃO REFORÇADO, ESPESSURA 4CM. AF_07/2021</t>
  </si>
  <si>
    <t>LOCACAO CONVENCIONAL DE OBRA, UTILIZANDO GABARITO DE TÁBUAS CORRIDAS PONTALETADAS A CADA 2,00M - 2 UTILIZAÇÕES. AF_10/2018</t>
  </si>
  <si>
    <t>LANÇAMENTO COM USO DE BALDES, ADENSAMENTO E ACABAMENTO DE CONCRETO EM ESTRUTURAS. AF_12/2015</t>
  </si>
  <si>
    <t>CONCRETO FCK = 25MPA, TRAÇO 1:2,3:2,7 (EM MASSA SECA DE CIMENTO/ AREIA MÉDIA/ BRITA 1) - PREPARO MECÂNICO COM BETONEIRA 400 L. AF_05/2021</t>
  </si>
  <si>
    <t>TAPUME COM TELHA METÁLICA. AF_05/2018.</t>
  </si>
  <si>
    <t>REATERRO MANUAL DE VALAS COM COMPACTAÇÃO MECANIZADA. AF_04/2016.</t>
  </si>
  <si>
    <t>CHAPISCO APLICADO EM ALVENARIA (SEM PRESENÇA DE VÃOS) E ESTRUTURAS DE CONCRETO DE FACHADA, COM COLHER DE PEDREIRO. ARGAMASSA TRAÇO 1:3 COM PREPARO EM BETONEIRA 400L. AF_06/2014.</t>
  </si>
  <si>
    <t>EMBOÇO OU MASSA ÚNICA EM ARGAMASSA TRAÇO 1:2:8, PREPARO MANUAL, APLICADA MANUALMENTE EM PANOS CEGOS DE FACHADA (SEM PRESENÇA DE VÃOS), ESPESSURA DE 25MM. AF_06/2014.</t>
  </si>
  <si>
    <t>LINK DAS PESQUISAS DE PREÇOS:</t>
  </si>
  <si>
    <t>APLICAÇÃO DE FUNDO SELADOR ACRÍLICO EM PAREDES, UMA DEMÃO. AF_06/2014</t>
  </si>
  <si>
    <t/>
  </si>
  <si>
    <t>PLANTIO DE FORRAÇÃO. AF_05/2018.</t>
  </si>
  <si>
    <t>PLANTIO DE ÁRVORE ORNAMENTAL COM ALTURA DE MUDA MENOR OU IGUAL A 2,00M. AF_05/2018.</t>
  </si>
  <si>
    <t>INSTALAÇÕES ELÉTRICAS DE BAIXA TENSÃO (220V)</t>
  </si>
  <si>
    <t>6.6</t>
  </si>
  <si>
    <t>6.7</t>
  </si>
  <si>
    <t>6.8</t>
  </si>
  <si>
    <t>6.9</t>
  </si>
  <si>
    <t>6.10</t>
  </si>
  <si>
    <t>CAIXA ENTERRADA ELÉTRICA RETANGULAR, EM ALVENARIA COM TIJOLOS CERÂMICOS MACIÇOS, FUNDO COM BRITA, DIMENSÕES INTERNAS: 0,3X0,3X0,3 M. AF_12/2020.</t>
  </si>
  <si>
    <t>MÉDIA DAS COTAÇÕES</t>
  </si>
  <si>
    <t>ANEXO-2 CÁLCULO DO BDI NÃO-DESONERADO</t>
  </si>
  <si>
    <t>Item</t>
  </si>
  <si>
    <t>Código</t>
  </si>
  <si>
    <t>Banco</t>
  </si>
  <si>
    <t>Descrição</t>
  </si>
  <si>
    <t>Und</t>
  </si>
  <si>
    <t>Quant.</t>
  </si>
  <si>
    <t>Valor Unit</t>
  </si>
  <si>
    <t>Valor Unit com BDI</t>
  </si>
  <si>
    <t>Total</t>
  </si>
  <si>
    <t>Peso (%)</t>
  </si>
  <si>
    <t xml:space="preserve"> 1 </t>
  </si>
  <si>
    <t xml:space="preserve"> 1.1 </t>
  </si>
  <si>
    <t>Próprio</t>
  </si>
  <si>
    <t xml:space="preserve"> 2 </t>
  </si>
  <si>
    <t>SERVIÇOS PRELIMINARES</t>
  </si>
  <si>
    <t xml:space="preserve"> 2.1 </t>
  </si>
  <si>
    <t xml:space="preserve"> 2.2 </t>
  </si>
  <si>
    <t xml:space="preserve"> 2.3 </t>
  </si>
  <si>
    <t xml:space="preserve"> 2.4 </t>
  </si>
  <si>
    <t xml:space="preserve"> 98459 </t>
  </si>
  <si>
    <t>TAPUME COM TELHA METÁLICA. AF_05/2018</t>
  </si>
  <si>
    <t xml:space="preserve"> 2.5 </t>
  </si>
  <si>
    <t>PLACA DE OBRA EM CHAPA DE AÇO GALVANIZADO</t>
  </si>
  <si>
    <t xml:space="preserve"> 2.6 </t>
  </si>
  <si>
    <t xml:space="preserve"> 99059 </t>
  </si>
  <si>
    <t>LOCACAO CONVENCIONAL DE OBRA, UTILIZANDO GABARITO DE TÁBUAS CORRIDAS PONTALETADAS A CADA 2,00M -  2 UTILIZAÇÕES. AF_10/2018</t>
  </si>
  <si>
    <t xml:space="preserve"> 3 </t>
  </si>
  <si>
    <t xml:space="preserve"> 3.1 </t>
  </si>
  <si>
    <t xml:space="preserve"> 3.2 </t>
  </si>
  <si>
    <t xml:space="preserve"> 93382 </t>
  </si>
  <si>
    <t>REATERRO MANUAL DE VALAS COM COMPACTAÇÃO MECANIZADA. AF_04/2016</t>
  </si>
  <si>
    <t xml:space="preserve"> 3.3 </t>
  </si>
  <si>
    <t xml:space="preserve"> 95241 </t>
  </si>
  <si>
    <t>LASTRO DE CONCRETO MAGRO, APLICADO EM PISOS, LAJES SOBRE SOLO OU RADIERS, ESPESSURA DE 5 CM. AF_07/2016</t>
  </si>
  <si>
    <t xml:space="preserve"> 4 </t>
  </si>
  <si>
    <t xml:space="preserve"> 4.1 </t>
  </si>
  <si>
    <t xml:space="preserve"> 93358 </t>
  </si>
  <si>
    <t xml:space="preserve"> 4.2 </t>
  </si>
  <si>
    <t xml:space="preserve"> 103329 </t>
  </si>
  <si>
    <t xml:space="preserve"> 5 </t>
  </si>
  <si>
    <t xml:space="preserve"> 5.1 </t>
  </si>
  <si>
    <t>UN</t>
  </si>
  <si>
    <t xml:space="preserve"> 5.2 </t>
  </si>
  <si>
    <t xml:space="preserve"> 5.3 </t>
  </si>
  <si>
    <t xml:space="preserve"> 6 </t>
  </si>
  <si>
    <t xml:space="preserve"> 6.1 </t>
  </si>
  <si>
    <t xml:space="preserve"> 6.2 </t>
  </si>
  <si>
    <t xml:space="preserve"> 6.3 </t>
  </si>
  <si>
    <t xml:space="preserve"> 6.4 </t>
  </si>
  <si>
    <t xml:space="preserve"> 6.5 </t>
  </si>
  <si>
    <t xml:space="preserve"> 6.6 </t>
  </si>
  <si>
    <t xml:space="preserve"> 93008 </t>
  </si>
  <si>
    <t>ELETRODUTO RÍGIDO ROSCÁVEL, PVC, DN 50 MM (1 1/2"), PARA REDE ENTERRADA DE DISTRIBUIÇÃO DE ENERGIA ELÉTRICA - FORNECIMENTO E INSTALAÇÃO. AF_12/2021</t>
  </si>
  <si>
    <t xml:space="preserve"> 6.7 </t>
  </si>
  <si>
    <t xml:space="preserve"> 97886 </t>
  </si>
  <si>
    <t>CAIXA ENTERRADA ELÉTRICA RETANGULAR, EM ALVENARIA COM TIJOLOS CERÂMICOS MACIÇOS, FUNDO COM BRITA, DIMENSÕES INTERNAS: 0,3X0,3X0,3 M. AF_12/2020</t>
  </si>
  <si>
    <t xml:space="preserve"> 6.8 </t>
  </si>
  <si>
    <t xml:space="preserve"> 6.9 </t>
  </si>
  <si>
    <t xml:space="preserve"> 6.10 </t>
  </si>
  <si>
    <t>un</t>
  </si>
  <si>
    <t xml:space="preserve"> 7 </t>
  </si>
  <si>
    <t xml:space="preserve"> 7.1 </t>
  </si>
  <si>
    <t xml:space="preserve"> 87894 </t>
  </si>
  <si>
    <t xml:space="preserve"> 7.2 </t>
  </si>
  <si>
    <t xml:space="preserve"> 87794 </t>
  </si>
  <si>
    <t xml:space="preserve"> 93679 </t>
  </si>
  <si>
    <t xml:space="preserve"> 94275 </t>
  </si>
  <si>
    <t>ASSENTAMENTO DE GUIA (MEIO-FIO) EM TRECHO RETO, CONFECCIONADA EM CONCRETO PRÉ-FABRICADO, DIMENSÕES 100X15X13X20 CM (COMPRIMENTO X BASE INFERIOR X BASE SUPERIOR X ALTURA), PARA URBANIZAÇÃO INTERNA DE EMPREENDIMENTOS. AF_06/2016_P</t>
  </si>
  <si>
    <t xml:space="preserve"> 87642 </t>
  </si>
  <si>
    <t xml:space="preserve"> 88485 </t>
  </si>
  <si>
    <t xml:space="preserve"> 88489 </t>
  </si>
  <si>
    <t xml:space="preserve"> 98505 </t>
  </si>
  <si>
    <t>PLANTIO DE FORRAÇÃO. AF_05/2018</t>
  </si>
  <si>
    <t xml:space="preserve"> 98510 </t>
  </si>
  <si>
    <t>PLANTIO DE ÁRVORE ORNAMENTAL COM ALTURA DE MUDA MENOR OU IGUAL A 2,00 M. AF_05/2018</t>
  </si>
  <si>
    <t xml:space="preserve">Total Geral = </t>
  </si>
  <si>
    <t>LASTRO DE CONCRETO MAGRO, APLICADO EM PISOS OU RADIERS, ESPESSURA DE 5CM. AF_07/2016.</t>
  </si>
  <si>
    <t>CONTRAPISO EM ARGAMASSA TRAÇO 1:4 (CIMENTO E AREIA), PREPARO MANUAL, APLICADO EM ÁREAS SECAS SOBRE LAJE, ADERIDO, ESPESSURA 4CM. AF_06/2014.</t>
  </si>
  <si>
    <t>EXECUÇÃO DE PASSEIO EM PISO INTERTRAVADO, COM BLOCO RETANGULAR COR NATURAL DE 20 X 10CM, ESPESSURA 6 CM. AF_12/2015.</t>
  </si>
  <si>
    <t>APLICAÇÃO DE FUNDO SELADOR ACRÍLICO EM PAREDES, UMA DEMÃO. AF_06/2014.</t>
  </si>
  <si>
    <t>APLICAÇÃO MANUAL DE PINTURA COM TINTA LÁTEX ACRÍLICA EM PAREDES, DUAS DEMÃOS. AF_06/2014.</t>
  </si>
  <si>
    <t>Perímetro da praça</t>
  </si>
  <si>
    <t>Perímetro da praça +Folga de 1,5M</t>
  </si>
  <si>
    <t>ÁREA</t>
  </si>
  <si>
    <t>MERCADO LIVRE</t>
  </si>
  <si>
    <t>Perímetro</t>
  </si>
  <si>
    <t>COT. 002</t>
  </si>
  <si>
    <t>FANTASYPLAY</t>
  </si>
  <si>
    <t>AMERICANAS</t>
  </si>
  <si>
    <t>https://lista.mercadolivre.com.br/cerca-infantil-play-ground</t>
  </si>
  <si>
    <t>https://www.fantasyplay.com.br/cercadinho-tradicional-6-pecas-com-porta--freso.9946.html?gclid=CjwKCAiA76-dBhByEiwAA0_s9TAGxshIAbK-_DiJyokck1z6ei4Ws9k_fbgmGIFvWhG8F1MtDOA7fBoCQ2gQAvD_BwE</t>
  </si>
  <si>
    <t>https://www.americanas.com.br/produto/6076073759?epar=bp_pl_00_go_br_d_14_n_comp_tk3&amp;opn=YSMESP&amp;WT.srch=1&amp;offerId=634063289064f2befb27f0b1&amp;gclsrc=aw.ds&amp;gclid=CjwKCAiA76-dBhByEiwAA0_s9a6Of6pIH0On5AU2PkCADHYYc9BV01lG0mwzzG3iHWXpnQ34C9Re4BoCpu0QAvD_BwE</t>
  </si>
  <si>
    <t>Volume de Concreto magro:</t>
  </si>
  <si>
    <t>Volume de Concreto armado:</t>
  </si>
  <si>
    <t>Volume da alvenaria de 1 vez:</t>
  </si>
  <si>
    <t>TOTAL ESCAVADO =</t>
  </si>
  <si>
    <t>PREPARO DE FUNDO DE VALA COM LARGURA MENOR QUE 1,5 M (ACERTO DO SOLO NATURAL). AF_08/2020.</t>
  </si>
  <si>
    <t>PRÓPRIA</t>
  </si>
  <si>
    <t>ALVENARIA DE VEDAÇÃO DE BLOCOS CERÂMICOS FURADOS NA HORIZONTAL DE 9X19X19CM (ESPESSURA 19CM) E ARGAMASSA DE ASSENTAMENTO COM PREPARO MANUAL.</t>
  </si>
  <si>
    <t>102355 DESMONTE DE MATERIAL DE 3ª CATEGORIA (BLOCOS DE ROCHAS OU MATACOS), EM VALA, COM MARTELETE PNEUMÁTICO MANUAL EXCLUSIVE RETIRADA, CARGA E TRANSPORTE. AF_03/2021 M3 AS 206,51</t>
  </si>
  <si>
    <t>102355</t>
  </si>
  <si>
    <t>DESMONTE DE MATERIAL DE 3ª CATEGORIA (BLOCOS DE ROCHAS OU MATACOS), EM VALA, COM MARTELETE PNEUMÁTICO MANUAL EXCLUSIVE RETIRADA, CARGA E TRANSPORTE. AF_03/2021.</t>
  </si>
  <si>
    <t>Serviço executado para rebaixamento de parte do afloramente das pedras existente no local da praça.</t>
  </si>
  <si>
    <t>102361 RETIRADA DE MATERIAL DE 3ª CATEGORIA (APÓS ESCAVAÇÃO/DESMONTE) EM VALAS, COM RETROESCAVADEIRA - EXCLUSIVE CARGA E TRANSPORTE. AF_03/2021 M3 CR 41,49</t>
  </si>
  <si>
    <t>102361</t>
  </si>
  <si>
    <t>RETIRADA DE MATERIAL DE 3ª CATEGORIA (APÓS ESCAVAÇÃO/DESMONTE) EM VALAS, COM RETROESCAVADEIRA - EXCLUSIVE CARGA E TRANSPORTE. AF_03/2021.</t>
  </si>
  <si>
    <t>5914336 Transporte de material de 3ª categoria com caminhão basculante de 12 m³ para rocha - rodovia pavimentada tkm 0,80</t>
  </si>
  <si>
    <t>1.2</t>
  </si>
  <si>
    <t>1.3</t>
  </si>
  <si>
    <t>1.4</t>
  </si>
  <si>
    <t>1.5</t>
  </si>
  <si>
    <t>TRABALHOS EM TERRA</t>
  </si>
  <si>
    <t>Vala para construção da base (JARDIM - 01)</t>
  </si>
  <si>
    <t>Vala para construção da base (JARDIM - 03)</t>
  </si>
  <si>
    <t>Vala para construção da base (JARDIM - 02)</t>
  </si>
  <si>
    <t>Vala para construção da base (JARDIM - 04)</t>
  </si>
  <si>
    <t>Vala para construção da base da área do parquinho</t>
  </si>
  <si>
    <t>Vala para construção da base da jardineira no entorno do parquinho</t>
  </si>
  <si>
    <t>Vala para construção da base dos bancos</t>
  </si>
  <si>
    <t>Rampas de acessibilidade</t>
  </si>
  <si>
    <t>Rampa de acesso ao parquinho</t>
  </si>
  <si>
    <t>Parede de contênção (JARDIM - 01)</t>
  </si>
  <si>
    <t>Parede de contênção (JARDIM - 02)</t>
  </si>
  <si>
    <t>Parede de contênção (JARDIM - 03)</t>
  </si>
  <si>
    <t>Parede de contênção (JARDIM - 04)</t>
  </si>
  <si>
    <t>Parede de contênção da área do parquinho</t>
  </si>
  <si>
    <t>Parede de contênção  da jardineira no entorno do parquinho</t>
  </si>
  <si>
    <t>Parede da jardineira no entorno do parquinho</t>
  </si>
  <si>
    <t>2.7</t>
  </si>
  <si>
    <t xml:space="preserve">Base dos bancos </t>
  </si>
  <si>
    <t>87249 REVESTIMENTO CERÂMICO PARA PISO COM PLACAS TIPO ESMALTADA EXTRA DE DIMENSÕES 45X45 CM APLICADA EM AMBIENTES DE ÁREA MENOR QUE 5 M2. AF_06/2014 M2 CR 73,36</t>
  </si>
  <si>
    <t>87249</t>
  </si>
  <si>
    <t>REVESTIMENTO CERÂMICO PARA PISO COM PLACAS TIPO ESMALTADA EXTRA DE DIMENSÕES 45X45 CM APLICADA EM AMBIENTES DE ÁREA MENOR QUE 5 M2. AF_06/2014.</t>
  </si>
  <si>
    <t>Tampo dos bancos em "L"</t>
  </si>
  <si>
    <t>Borda dos bancos em "L"</t>
  </si>
  <si>
    <t>Tampo dos bancos "SIMPLES"</t>
  </si>
  <si>
    <t>Borda dos bancos "SIMPLES"</t>
  </si>
  <si>
    <t>Pés (base) dos bancos</t>
  </si>
  <si>
    <t>FABRICAÇÃO, MONATGEM E DESMONTAGEM DE FÔRMA PARA SAPATA, EM CHAPA DE MADEIRA COMPENSADA RESINADA, E=17MM, 2 UTILIZAÇÕES. AF_06/2017.</t>
  </si>
  <si>
    <t>92419 MONTAGEM E DESMONTAGEM DE FÔRMA DE PILARES RETANGULARES E ESTRUTURAS SIMILARES, PÉ-DIREITO SIMPLES, EM CHAPA DE MADEIRA COMPENSADA RESINADA, 4 UTILIZAÇÕES. AF_09/2020 M2 CR 83,35</t>
  </si>
  <si>
    <t>92419</t>
  </si>
  <si>
    <t>MONTAGEM E DESMONTAGEM DE FÔRMA DE PILARES RETANGULARES E ESTRUTURAS SIMILARES, PÉ-DIREITO SIMPLES, EM CHAPA DE MADEIRA COMPENSADA RESINADA, 4 UTILIZAÇÕES. AF_09/2020.</t>
  </si>
  <si>
    <t>Sapata de apoio das base dos bancos</t>
  </si>
  <si>
    <t>Base (pés) dos bancos</t>
  </si>
  <si>
    <t>2.8</t>
  </si>
  <si>
    <t>92514 MONTAGEM E DESMONTAGEM DE FÔRMA DE LAJE MACIÇA, PÉ-DIREITO SIMPLES, EM CHAPA DE MADEIRA COMPENSADA RESINADA, 4 UTILIZAÇÕES. AF_09/2020 M2 AS 52,47</t>
  </si>
  <si>
    <t>92514</t>
  </si>
  <si>
    <t>MONTAGEM E DESMONTAGEM DE FÔRMA DE LAJE MACIÇA, PÉ-DIREITO SIMPLES, EM CHAPA DE MADEIRA COMPENSADA RESINADA, 4 UTILIZAÇÕES. AF_09/2020.</t>
  </si>
  <si>
    <t>2.9</t>
  </si>
  <si>
    <t>2.10</t>
  </si>
  <si>
    <t>92761 ARMAÇÃO DE PILAR OU VIGA DE ESTRUTURA CONVENCIONAL DE CONCRETO ARMADO UTILIZANDO AÇO CA-50 DE 8,0 MM - MONTAGEM. AF_06/2022 KG CR 15,17</t>
  </si>
  <si>
    <t>92761</t>
  </si>
  <si>
    <t>ARMAÇÃO DE PILAR OU VIGA DE ESTRUTURA CONVENCIONAL DE CONCRETO ARMADO UTILIZANDO AÇO CA-50 DE 8,0 MM - MONTAGEM. AF_06/2022.</t>
  </si>
  <si>
    <t>92759 ARMAÇÃO DE PILAR OU VIGA DE ESTRUTURA CONVENCIONAL DE CONCRETO ARMADO UTILIZANDO AÇO CA-60 DE 5,0 MM - MONTAGEM. AF_06/2022 KG CR 16,14</t>
  </si>
  <si>
    <t>ARMAÇÃO DE PILAR OU VIGA DE ESTRUTURA CONVENCIONAL DE CONCRETO ARMADO UTILIZANDO AÇO CA-60 DE 5,0 MM - MONTAGEM. AF_06/2022.</t>
  </si>
  <si>
    <t>Tampo (laje) dos bancos em "L" e Tampo (laje) dos bancos "SIMPLES"</t>
  </si>
  <si>
    <t>2.11</t>
  </si>
  <si>
    <t>92762 ARMAÇÃO DE PILAR OU VIGA DE ESTRUTURA CONVENCIONAL DE CONCRETO ARMADO UTILIZANDO AÇO CA-50 DE 10,0 MM - MONTAGEM. AF_06/2022 KG CR 13,73</t>
  </si>
  <si>
    <t>92762</t>
  </si>
  <si>
    <t>ARMAÇÃO DE PILAR OU VIGA DE ESTRUTURA CONVENCIONAL DE CONCRETO ARMADO UTILIZANDO AÇO CA-50 DE 10,0 MM - MONTAGEM. AF_06/2022.</t>
  </si>
  <si>
    <t>2.12</t>
  </si>
  <si>
    <t>94965</t>
  </si>
  <si>
    <t>SAPATAS</t>
  </si>
  <si>
    <t>PILARES</t>
  </si>
  <si>
    <t>LAJES</t>
  </si>
  <si>
    <t>LANÇAMENTO COM USO DE BALDES, ADENSAMENTO E ACABAMENTO DE CONCRETO EM ESTRUTURAS. AF_12/2015.</t>
  </si>
  <si>
    <t>2.13</t>
  </si>
  <si>
    <t>2.14</t>
  </si>
  <si>
    <t>REVESTIMENTO (PAREDES)</t>
  </si>
  <si>
    <t>REVESTIMENTO DE PISOS</t>
  </si>
  <si>
    <t>4.3</t>
  </si>
  <si>
    <t>4.4</t>
  </si>
  <si>
    <t>4.5</t>
  </si>
  <si>
    <t>Área do parquinho</t>
  </si>
  <si>
    <t>Rampa de Acesso ao parquinho</t>
  </si>
  <si>
    <t>87642</t>
  </si>
  <si>
    <t>Perímetro externo da praça (conforme projeto)</t>
  </si>
  <si>
    <t xml:space="preserve">Área obtida através do soft AutoCAD de acordo com o projeto da praça. </t>
  </si>
  <si>
    <t>Área obtida através do soft AutoCAD de acordo com o projeto da praça. (24,00m² + 24,68m²)</t>
  </si>
  <si>
    <t>4.6</t>
  </si>
  <si>
    <t>Área do parquinho conforme projeto.</t>
  </si>
  <si>
    <t>10042/ORSE</t>
  </si>
  <si>
    <t>Fornecimento e instalação de grama sintética 42mm, alta durabilidade, cor verde, proteção raios UV e luz solar, incluso cola, type, areia tratada, borracha e mão de obra especializada m2 61,90</t>
  </si>
  <si>
    <t>10042</t>
  </si>
  <si>
    <t>Fornecimento e instalação de grama sintética 42mm, alta durabilidade, cor verde, proteção raios UV e luz solar, incluso cola, type, areia tratada, borracha e mão de obra especializada.</t>
  </si>
  <si>
    <t>4.7</t>
  </si>
  <si>
    <t>09418/ORSE Piso tátil direcional e/ou alerta, de concreto, na cor natural, p/deficientes visuais, dimensões 25x25cm, aplicado com argamassa industrializada ac-ii, rejuntado, exclusive regularização de base m2 87,71</t>
  </si>
  <si>
    <t>09418</t>
  </si>
  <si>
    <t>Piso tátil direcional e/ou alerta, de concreto, na cor natural, p/deficientes visuais, dimensões 25x25cm, aplicado com argamassa industrializada ac-ii, rejuntado, exclusive regularização de base.</t>
  </si>
  <si>
    <t>Área de acordo com a planta de parginação de piso.</t>
  </si>
  <si>
    <t>88489</t>
  </si>
  <si>
    <t>102491 PINTURA DE PISO COM TINTA ACRÍLICA, APLICAÇÃO MANUAL, 2 DEMÃOS, INCLUSO FUNDO PREPARADOR. AF_05/2021 M2 CR 19,31</t>
  </si>
  <si>
    <t>102491</t>
  </si>
  <si>
    <t>PINTURA DE PISO COM TINTA ACRÍLICA, APLICAÇÃO MANUAL, 2 DEMÃOS, INCLUSO FUNDO PREPARADOR. AF_05/2021.</t>
  </si>
  <si>
    <t>Área das rampas de acessibilidade</t>
  </si>
  <si>
    <t>101489 ENTRADA DE ENERGIA ELÉTRICA, AÉREA, MONOFÁSICA, COM CAIXA DE SOBREPOR, CABO DE 10 MM2 E DISJUNTOR DIN 50A (NÃO INCLUSO O POSTE DE CONCRETO). AF_07/2020_PS UN AS 1.464,01</t>
  </si>
  <si>
    <t>101489</t>
  </si>
  <si>
    <t>ENTRADA DE ENERGIA ELÉTRICA, AÉREA, MONOFÁSICA, COM CAIXA DE SOBREPOR, CABO DE 10 MM2 E DISJUNTOR DIN 50A (NÃO INCLUSO O POSTE DE CONCRETO). AF_07/2020_PS.</t>
  </si>
  <si>
    <t>100578 ASSENTAMENTO DE POSTE DE CONCRETO COM COMPRIMENTO NOMINAL DE 9 M, CARGA NOMINAL MENOR OU IGUAL A 1000 DAN, ENGASTAMENTO SIMPLES COM 1,5 M DE SOLO (NÃO INCLUI FORNECIMENTO). AF_11/2019 UN AS 495,55</t>
  </si>
  <si>
    <t>100578</t>
  </si>
  <si>
    <t>ASSENTAMENTO DE POSTE DE CONCRETO COM COMPRIMENTO NOMINAL DE 9 M, CARGA NOMINAL MENOR OU IGUAL A 1000 DAN, ENGASTAMENTO SIMPLES COM 1,5 M DE SOLO (NÃO INCLUI FORNECIMENTO). AF_11/2019.</t>
  </si>
  <si>
    <t>00041196 POSTE DE CONCRETO ARMADO DE SECAO DUPLO T, EXTENSAO DE 9,00 M, RESISTENCIA DE 150 DAN, TIPO D UN 812,67</t>
  </si>
  <si>
    <t>00041196</t>
  </si>
  <si>
    <t>POSTE DE CONCRETO ARMADO DE SECAO DUPLO T, EXTENSAO DE 9,00 M, RESISTENCIA DE 150 DAN, TIPO D.</t>
  </si>
  <si>
    <t>93008 ELETRODUTO RÍGIDO ROSCÁVEL, PVC, DN 50 MM (1 1/2"), PARA REDE ENTERRADA DE DISTRIBUIÇÃO DE ENERGIA ELÉTRICA - FORNECIMENTO E INSTALAÇÃO. AF_12/2021 M CR 18,53</t>
  </si>
  <si>
    <t>93008</t>
  </si>
  <si>
    <t>ELETRODUTO RÍGIDO ROSCÁVEL, PVC, DN 50 MM (1 1/2"), PARA REDE ENTERRADA DE DISTRIBUIÇÃO DE ENERGIA ELÉTRICA - FORNECIMENTO E INSTALAÇÃO. AF_12/2021.</t>
  </si>
  <si>
    <t>101658 LUMINÁRIA DE LED PARA ILUMINAÇÃO PÚBLICA, DE 138 W ATÉ 180 W - FORNECIMENTO E INSTALAÇÃO. AF_08/2020 UN AS 932,06</t>
  </si>
  <si>
    <t>101658</t>
  </si>
  <si>
    <t>LUMINÁRIA DE LED PARA ILUMINAÇÃO PÚBLICA, DE 138 W ATÉ 180 W - FORNECIMENTO E INSTALAÇÃO. AF_08/2020.</t>
  </si>
  <si>
    <t>12903/ORSE Poste decorativo 1 pétalas, em aço galvanizado com difusor em vidro transparente temperado, com 3m/4m, inclusive lâmpada de led 50w un 2653,28</t>
  </si>
  <si>
    <t>12903</t>
  </si>
  <si>
    <t>12807/ORSE Refletor Slim LED 50W de potência, branco Frio, 6500k, Autovolt, marca G-light ou similar un 93,86</t>
  </si>
  <si>
    <t>12807</t>
  </si>
  <si>
    <t>101876 QUADRO DE DISTRIBUIÇÃO DE ENERGIA EM PVC, DE EMBUTIR, SEM BARRAMENTO, PARA 6 DISJUNTORES - FORNECIMENTO E INSTALAÇÃO. AF_10/2020 UN CR 94,83</t>
  </si>
  <si>
    <t>101876</t>
  </si>
  <si>
    <t>QUADRO DE DISTRIBUIÇÃO DE ENERGIA EM PVC, DE EMBUTIR, SEM BARRAMENTO, PARA 6 DISJUNTORES - FORNECIMENTO E INSTALAÇÃO. AF_10/2020.</t>
  </si>
  <si>
    <t>93653 DISJUNTOR MONOPOLAR TIPO DIN, CORRENTE NOMINAL DE 10A - FORNECIMENTO E INSTALAÇÃO. AF_10/2020 UN CR 14,45</t>
  </si>
  <si>
    <t>93653</t>
  </si>
  <si>
    <t>DISJUNTOR MONOPOLAR TIPO DIN, CORRENTE NOMINAL DE 10A - FORNECIMENTO E INSTALAÇÃO. AF_10/2020.</t>
  </si>
  <si>
    <t>6.11</t>
  </si>
  <si>
    <t>6.12</t>
  </si>
  <si>
    <t>6.13</t>
  </si>
  <si>
    <t>07967/ORSE Guarda-corpo em tubo de aço inox ø=1 1/2", duplo, com montantes e fechamento em tubo inox ø=1 1/2", h=96cm, c/acabamento polido, p/fixação em piso m 735,62</t>
  </si>
  <si>
    <t>07967</t>
  </si>
  <si>
    <t>Guarda-corpo em tubo de aço inox ø=1 1/2", duplo, com montantes e fechamento em tubo inox ø=1 1/2", h=96cm, c/acabamento polido, p/fixação em piso.</t>
  </si>
  <si>
    <t>cercado colocado no entorno do parquinho (A COTAÇÃO SE REFERE A UMA PEÇA DE 0,94X0,62M - CxA).</t>
  </si>
  <si>
    <t>Quantidades de acordo com o projeto</t>
  </si>
  <si>
    <t>https://www.fantasyplay.com.br/centro-de-atividades-duplo-ouro--freso.16554.html</t>
  </si>
  <si>
    <t>https://www.mamibrinquedos.com.br/playground/miniplay-sapinho-2020-freso-ref-50001156?parceiro=8625&amp;gclid=EAIaIQobChMIiZWfx6bC_AIVDGuRCh32pQtQEAQYAiABEgL4Z_D_BwE</t>
  </si>
  <si>
    <t>https://www.multiplace.net.br/loja/1960_4_594_0/fantasyplay.html?busca=+freso</t>
  </si>
  <si>
    <t>MAMIBRINQUEDOS</t>
  </si>
  <si>
    <t>MULTIPLACE</t>
  </si>
  <si>
    <t>PLAYGROUND PLAY SAPINHO ESCORREGA DUPLO COM TELHADINHO FRESO OU SIMILAR - FORNECIMENTO E INSTALAÇÃO.</t>
  </si>
  <si>
    <t>CERCADO INFANTIL DE POLIETILENO OU SIMILAR CONFORME PROJETO DE ARQUITETURA (Preço por peça unitária)</t>
  </si>
  <si>
    <t>Brinquedo em polietileno colocado acima da grama cintética na área do parquinho</t>
  </si>
  <si>
    <t>CERCADO INFANTIL DE POLIETILENO OU SIMILAR CONFORME PROJETO DE ARQUITETURA (Preço por peça unitária).</t>
  </si>
  <si>
    <t>7.3</t>
  </si>
  <si>
    <t>7.4</t>
  </si>
  <si>
    <t>7.5</t>
  </si>
  <si>
    <t xml:space="preserve"> 102355 </t>
  </si>
  <si>
    <t>DESMONTE DE MATERIAL DE 3ª CATEGORIA (BLOCOS DE ROCHAS OU MATACOS), EM VALA, COM MARTELETE PNEUMÁTICO MANUAL   EXCLUSIVE RETIRADA, CARGA E TRANSPORTE. AF_03/2021</t>
  </si>
  <si>
    <t xml:space="preserve"> 1.2 </t>
  </si>
  <si>
    <t xml:space="preserve"> 102361 </t>
  </si>
  <si>
    <t>RETIRADA DE MATERIAL DE 3ª CATEGORIA (APÓS ESCAVAÇÃO/DESMONTE) EM VALAS, COM RETROESCAVADEIRA - EXCLUSIVE CARGA E TRANSPORTE. AF_03/2021</t>
  </si>
  <si>
    <t xml:space="preserve"> 1.3 </t>
  </si>
  <si>
    <t xml:space="preserve"> 1.4 </t>
  </si>
  <si>
    <t xml:space="preserve"> C.U.P - 1 </t>
  </si>
  <si>
    <t xml:space="preserve"> 1.5 </t>
  </si>
  <si>
    <t xml:space="preserve"> 101616 </t>
  </si>
  <si>
    <t>PREPARO DE FUNDO DE VALA COM LARGURA MENOR QUE 1,5 M (ACERTO DO SOLO NATURAL). AF_08/2020</t>
  </si>
  <si>
    <t xml:space="preserve"> C.U.P - 2 </t>
  </si>
  <si>
    <t>ALVENARIA DE TIJOLO CERÂMICO FURADO (9x19x19)CM COM ARGAMASSA DE CIMENTO E AREIA, ESP.=19CM.</t>
  </si>
  <si>
    <t xml:space="preserve"> 2.7 </t>
  </si>
  <si>
    <t xml:space="preserve"> 96538 </t>
  </si>
  <si>
    <t>FABRICAÇÃO, MONTAGEM E DESMONTAGEM DE FÔRMA PARA SAPATA, EM CHAPA DE MADEIRA COMPENSADA RESINADA, E=17 MM, 2 UTILIZAÇÕES. AF_06/2017</t>
  </si>
  <si>
    <t xml:space="preserve"> 2.8 </t>
  </si>
  <si>
    <t xml:space="preserve"> 92419 </t>
  </si>
  <si>
    <t>MONTAGEM E DESMONTAGEM DE FÔRMA DE PILARES RETANGULARES E ESTRUTURAS SIMILARES, PÉ-DIREITO SIMPLES, EM CHAPA DE MADEIRA COMPENSADA RESINADA, 4 UTILIZAÇÕES. AF_09/2020</t>
  </si>
  <si>
    <t xml:space="preserve"> 2.9 </t>
  </si>
  <si>
    <t xml:space="preserve"> 92514 </t>
  </si>
  <si>
    <t>MONTAGEM E DESMONTAGEM DE FÔRMA DE LAJE MACIÇA, PÉ-DIREITO SIMPLES, EM CHAPA DE MADEIRA COMPENSADA RESINADA, 4 UTILIZAÇÕES. AF_09/2020</t>
  </si>
  <si>
    <t xml:space="preserve"> 2.10 </t>
  </si>
  <si>
    <t xml:space="preserve"> 92759 </t>
  </si>
  <si>
    <t>ARMAÇÃO DE PILAR OU VIGA DE ESTRUTURA CONVENCIONAL DE CONCRETO ARMADO UTILIZANDO AÇO CA-60 DE 5,0 MM - MONTAGEM. AF_06/2022</t>
  </si>
  <si>
    <t xml:space="preserve"> 2.11 </t>
  </si>
  <si>
    <t xml:space="preserve"> 92761 </t>
  </si>
  <si>
    <t>ARMAÇÃO DE PILAR OU VIGA DE ESTRUTURA CONVENCIONAL DE CONCRETO ARMADO UTILIZANDO AÇO CA-50 DE 8,0 MM - MONTAGEM. AF_06/2022</t>
  </si>
  <si>
    <t xml:space="preserve"> 2.12 </t>
  </si>
  <si>
    <t xml:space="preserve"> 92762 </t>
  </si>
  <si>
    <t>ARMAÇÃO DE PILAR OU VIGA DE ESTRUTURA CONVENCIONAL DE CONCRETO ARMADO UTILIZANDO AÇO CA-50 DE 10,0 MM - MONTAGEM. AF_06/2022</t>
  </si>
  <si>
    <t xml:space="preserve"> 2.13 </t>
  </si>
  <si>
    <t xml:space="preserve"> 94965 </t>
  </si>
  <si>
    <t xml:space="preserve"> 2.14 </t>
  </si>
  <si>
    <t xml:space="preserve"> 92873 </t>
  </si>
  <si>
    <t>CHAPISCO APLICADO EM ALVENARIA (SEM PRESENÇA DE VÃOS) E ESTRUTURAS DE CONCRETO DE FACHADA, COM COLHER DE PEDREIRO.  ARGAMASSA TRAÇO 1:3 COM PREPARO EM BETONEIRA 400L. AF_10/2022</t>
  </si>
  <si>
    <t>EMBOÇO OU MASSA ÚNICA EM ARGAMASSA TRAÇO 1:2:8, PREPARO MANUAL, APLICADA MANUALMENTE EM PANOS CEGOS DE FACHADA (SEM PRESENÇA DE VÃOS), ESPESSURA DE 25 MM. AF_09/2022</t>
  </si>
  <si>
    <t xml:space="preserve"> 87249 </t>
  </si>
  <si>
    <t>REVESTIMENTO CERÂMICO PARA PISO COM PLACAS TIPO ESMALTADA EXTRA DE DIMENSÕES 45X45 CM APLICADA EM AMBIENTES DE ÁREA MENOR QUE 5 M2. AF_06/2014</t>
  </si>
  <si>
    <t xml:space="preserve"> 4.3 </t>
  </si>
  <si>
    <t>ASSENTAMENTO DE GUIA (MEIO-FIO) EM TRECHO RETO, CONFECCIONADA EM CONCRETO PRÉ-FABRICADO, DIMENSÕES 100X15X13X20 CM (COMPRIMENTO X BASE INFERIOR X BASE SUPERIOR X ALTURA), PARA URBANIZAÇÃO INTERNA DE EMPREENDIMENTOS. AF_06/2016</t>
  </si>
  <si>
    <t xml:space="preserve"> 4.4 </t>
  </si>
  <si>
    <t xml:space="preserve"> 92396 </t>
  </si>
  <si>
    <t>EXECUÇÃO DE PASSEIO EM PISO INTERTRAVADO, COM BLOCO RETANGULAR COR NATURAL DE 20 X 10 CM, ESPESSURA 6 CM. AF_10/2022</t>
  </si>
  <si>
    <t xml:space="preserve"> 4.5 </t>
  </si>
  <si>
    <t>EXECUÇÃO DE PASSEIO EM PISO INTERTRAVADO, COM BLOCO RETANGULAR COLORIDO DE 20 X 10 CM, ESPESSURA 6 CM. AF_10/2022</t>
  </si>
  <si>
    <t xml:space="preserve"> 4.6 </t>
  </si>
  <si>
    <t xml:space="preserve"> 10042 </t>
  </si>
  <si>
    <t>Fornecimento e instalação de grama sintética 42mm, alta durabilidade, cor verde, proteção raios UV e luz solar, incluso cola, type, areia tratada, borracha e mão de obra especializada</t>
  </si>
  <si>
    <t xml:space="preserve"> 4.7 </t>
  </si>
  <si>
    <t xml:space="preserve"> 9418 </t>
  </si>
  <si>
    <t>Piso tátil direcional e/ou alerta, de concreto, na cor natural, p/deficientes visuais, dimensões 25x25cm, aplicado com argamassa industrializada ac-ii, rejuntado, exclusive regularização de base</t>
  </si>
  <si>
    <t xml:space="preserve"> 102491 </t>
  </si>
  <si>
    <t>PINTURA DE PISO COM TINTA ACRÍLICA, APLICAÇÃO MANUAL, 2 DEMÃOS, INCLUSO FUNDO PREPARADOR. AF_05/2021</t>
  </si>
  <si>
    <t xml:space="preserve"> 101489 </t>
  </si>
  <si>
    <t>ENTRADA DE ENERGIA ELÉTRICA, AÉREA, MONOFÁSICA, COM CAIXA DE SOBREPOR, CABO DE 10 MM2 E DISJUNTOR DIN 50A (NÃO INCLUSO O POSTE DE CONCRETO). AF_07/2020_PS</t>
  </si>
  <si>
    <t xml:space="preserve"> 100578 </t>
  </si>
  <si>
    <t>ASSENTAMENTO DE POSTE DE CONCRETO COM COMPRIMENTO NOMINAL DE 9 M, CARGA NOMINAL MENOR OU IGUAL A 1000 DAN, ENGASTAMENTO SIMPLES COM 1,5 M DE SOLO (NÃO INCLUI FORNECIMENTO). AF_11/2019</t>
  </si>
  <si>
    <t xml:space="preserve"> 00041196 </t>
  </si>
  <si>
    <t>POSTE DE CONCRETO ARMADO DE SECAO DUPLO T, EXTENSAO DE 9,00 M, RESISTENCIA DE 150 DAN, TIPO D</t>
  </si>
  <si>
    <t xml:space="preserve"> 101876 </t>
  </si>
  <si>
    <t>QUADRO DE DISTRIBUIÇÃO DE ENERGIA EM PVC, DE EMBUTIR, SEM BARRAMENTO, PARA 6 DISJUNTORES - FORNECIMENTO E INSTALAÇÃO. AF_10/2020</t>
  </si>
  <si>
    <t xml:space="preserve"> 93653 </t>
  </si>
  <si>
    <t>DISJUNTOR MONOPOLAR TIPO DIN, CORRENTE NOMINAL DE 10A - FORNECIMENTO E INSTALAÇÃO. AF_10/2020</t>
  </si>
  <si>
    <t xml:space="preserve"> 12903 </t>
  </si>
  <si>
    <t>Poste decorativo 1 pétalas, em aço galvanizado com difusor em vidro transparente temperado, com 3m/4m, inclusive lâmpada de led 50w</t>
  </si>
  <si>
    <t xml:space="preserve"> 12807 </t>
  </si>
  <si>
    <t>Refletor Slim  LED 50W de potência, branco Frio, 6500k, Autovolt, marca G-light ou similar</t>
  </si>
  <si>
    <t xml:space="preserve"> 6.11 </t>
  </si>
  <si>
    <t xml:space="preserve"> 6.12 </t>
  </si>
  <si>
    <t xml:space="preserve"> 6.13 </t>
  </si>
  <si>
    <t xml:space="preserve"> 101658 </t>
  </si>
  <si>
    <t>LUMINÁRIA DE LED PARA ILUMINAÇÃO PÚBLICA, DE 138 W ATÉ 180 W - FORNECIMENTO E INSTALAÇÃO. AF_08/2020</t>
  </si>
  <si>
    <t xml:space="preserve"> 7967 </t>
  </si>
  <si>
    <t>Guarda-corpo em tubo de aço inox ø=1 1/2", duplo, com montantes e fechamento em tubo inox ø=1 1/2", h=96cm, c/acabamento polido, p/fixação em piso</t>
  </si>
  <si>
    <t xml:space="preserve"> 7.3 </t>
  </si>
  <si>
    <t xml:space="preserve"> 7.4 </t>
  </si>
  <si>
    <t xml:space="preserve"> COT. 1 </t>
  </si>
  <si>
    <t xml:space="preserve"> 7.5 </t>
  </si>
  <si>
    <t xml:space="preserve"> COT. 2 </t>
  </si>
  <si>
    <t>Valor  Unit</t>
  </si>
  <si>
    <t>Peso Acumulado (%)</t>
  </si>
  <si>
    <t>186,92</t>
  </si>
  <si>
    <t>158,86</t>
  </si>
  <si>
    <t>29.694,11</t>
  </si>
  <si>
    <t>185,0</t>
  </si>
  <si>
    <t>127,59</t>
  </si>
  <si>
    <t>23.604,15</t>
  </si>
  <si>
    <t>295,68</t>
  </si>
  <si>
    <t>70,50</t>
  </si>
  <si>
    <t>20.845,44</t>
  </si>
  <si>
    <t>1,0</t>
  </si>
  <si>
    <t>16.966,30</t>
  </si>
  <si>
    <t>10,0</t>
  </si>
  <si>
    <t>902,89</t>
  </si>
  <si>
    <t>75,13</t>
  </si>
  <si>
    <t>118,00</t>
  </si>
  <si>
    <t>8.865,34</t>
  </si>
  <si>
    <t>164,3</t>
  </si>
  <si>
    <t>43,92</t>
  </si>
  <si>
    <t>7.216,05</t>
  </si>
  <si>
    <t>9,6</t>
  </si>
  <si>
    <t>740,49</t>
  </si>
  <si>
    <t>7.108,70</t>
  </si>
  <si>
    <t>31,15</t>
  </si>
  <si>
    <t>196,29</t>
  </si>
  <si>
    <t>6.114,43</t>
  </si>
  <si>
    <t>92,5</t>
  </si>
  <si>
    <t>59,27</t>
  </si>
  <si>
    <t>5.482,47</t>
  </si>
  <si>
    <t>91,22</t>
  </si>
  <si>
    <t>59,49</t>
  </si>
  <si>
    <t>5.426,67</t>
  </si>
  <si>
    <t>2,0</t>
  </si>
  <si>
    <t>30,0</t>
  </si>
  <si>
    <t>176,21</t>
  </si>
  <si>
    <t>5.286,30</t>
  </si>
  <si>
    <t>40,0</t>
  </si>
  <si>
    <t>114,65</t>
  </si>
  <si>
    <t>4.586,00</t>
  </si>
  <si>
    <t>43,3</t>
  </si>
  <si>
    <t>124,19</t>
  </si>
  <si>
    <t>30,74</t>
  </si>
  <si>
    <t>3.817,60</t>
  </si>
  <si>
    <t>48,68</t>
  </si>
  <si>
    <t>77,57</t>
  </si>
  <si>
    <t>3.776,10</t>
  </si>
  <si>
    <t>1,66</t>
  </si>
  <si>
    <t>72,87</t>
  </si>
  <si>
    <t>51,45</t>
  </si>
  <si>
    <t>3.749,16</t>
  </si>
  <si>
    <t>49,96</t>
  </si>
  <si>
    <t>68,70</t>
  </si>
  <si>
    <t>3.432,25</t>
  </si>
  <si>
    <t>51,99</t>
  </si>
  <si>
    <t>61,90</t>
  </si>
  <si>
    <t>3.218,18</t>
  </si>
  <si>
    <t>11,52</t>
  </si>
  <si>
    <t>276,77</t>
  </si>
  <si>
    <t>3.188,39</t>
  </si>
  <si>
    <t>146,48</t>
  </si>
  <si>
    <t>15,60</t>
  </si>
  <si>
    <t>2.285,08</t>
  </si>
  <si>
    <t>27,96</t>
  </si>
  <si>
    <t>80,78</t>
  </si>
  <si>
    <t>2.258,60</t>
  </si>
  <si>
    <t>141,0</t>
  </si>
  <si>
    <t>14,63</t>
  </si>
  <si>
    <t>2.062,83</t>
  </si>
  <si>
    <t>4,14</t>
  </si>
  <si>
    <t>491,64</t>
  </si>
  <si>
    <t>2.035,38</t>
  </si>
  <si>
    <t>22,68</t>
  </si>
  <si>
    <t>85,01</t>
  </si>
  <si>
    <t>1.928,02</t>
  </si>
  <si>
    <t>150,99</t>
  </si>
  <si>
    <t>92,53</t>
  </si>
  <si>
    <t>4,5</t>
  </si>
  <si>
    <t>396,09</t>
  </si>
  <si>
    <t>1.782,40</t>
  </si>
  <si>
    <t>0,78</t>
  </si>
  <si>
    <t>1.440,26</t>
  </si>
  <si>
    <t>27,28</t>
  </si>
  <si>
    <t>52,06</t>
  </si>
  <si>
    <t>1.420,19</t>
  </si>
  <si>
    <t>0,59</t>
  </si>
  <si>
    <t>100,0</t>
  </si>
  <si>
    <t>13,23</t>
  </si>
  <si>
    <t>1.323,00</t>
  </si>
  <si>
    <t>0,58</t>
  </si>
  <si>
    <t>38,61</t>
  </si>
  <si>
    <t>1.202,70</t>
  </si>
  <si>
    <t>6,49</t>
  </si>
  <si>
    <t>1.066,30</t>
  </si>
  <si>
    <t>11,0</t>
  </si>
  <si>
    <t>18,58</t>
  </si>
  <si>
    <t>0,41</t>
  </si>
  <si>
    <t>207,53</t>
  </si>
  <si>
    <t>859,17</t>
  </si>
  <si>
    <t>10,51</t>
  </si>
  <si>
    <t>79,63</t>
  </si>
  <si>
    <t>836,91</t>
  </si>
  <si>
    <t>23,35</t>
  </si>
  <si>
    <t>35,16</t>
  </si>
  <si>
    <t>820,98</t>
  </si>
  <si>
    <t>41,0</t>
  </si>
  <si>
    <t>15,71</t>
  </si>
  <si>
    <t>644,11</t>
  </si>
  <si>
    <t>604,74</t>
  </si>
  <si>
    <t>467,97</t>
  </si>
  <si>
    <t>2,86</t>
  </si>
  <si>
    <t>418,93</t>
  </si>
  <si>
    <t>51,32</t>
  </si>
  <si>
    <t>5,96</t>
  </si>
  <si>
    <t>305,86</t>
  </si>
  <si>
    <t>15,12</t>
  </si>
  <si>
    <t>19,31</t>
  </si>
  <si>
    <t>291,96</t>
  </si>
  <si>
    <t>99,93</t>
  </si>
  <si>
    <t>96,24</t>
  </si>
  <si>
    <t>0,04</t>
  </si>
  <si>
    <t>99,98</t>
  </si>
  <si>
    <t>4,0</t>
  </si>
  <si>
    <t>14,06</t>
  </si>
  <si>
    <t>100,00</t>
  </si>
  <si>
    <t>Total Por Etapa</t>
  </si>
  <si>
    <t>30 DIAS</t>
  </si>
  <si>
    <t>60 DIAS</t>
  </si>
  <si>
    <t>90 DIAS</t>
  </si>
  <si>
    <t>120 DIAS</t>
  </si>
  <si>
    <t>100,00%
46.050,64</t>
  </si>
  <si>
    <t>100,00%
7.373,82</t>
  </si>
  <si>
    <t>100,00%
1.450,34</t>
  </si>
  <si>
    <t>100,00%
28.465,95</t>
  </si>
  <si>
    <t>100,00%
2.149,56</t>
  </si>
  <si>
    <t>100,00%
6.610,97</t>
  </si>
  <si>
    <t>100,00%
59.597,19</t>
  </si>
  <si>
    <t>5,19%
3.092,33</t>
  </si>
  <si>
    <t>64,77%
38.599,80</t>
  </si>
  <si>
    <t>30,04%
17.905,07</t>
  </si>
  <si>
    <t>100,00%
2.723,86</t>
  </si>
  <si>
    <t>100,00%
368,47</t>
  </si>
  <si>
    <t>100,00%
2.462,93</t>
  </si>
  <si>
    <t>100,00%
35.810,13</t>
  </si>
  <si>
    <t>50,00%
17.905,07</t>
  </si>
  <si>
    <t>100,00%
990,04</t>
  </si>
  <si>
    <t>100,00%
1.009,27</t>
  </si>
  <si>
    <t>100,00%
3.845,14</t>
  </si>
  <si>
    <t>100,00%
2.325,15</t>
  </si>
  <si>
    <t>100,00%
1.712,63</t>
  </si>
  <si>
    <t>100,00%
776,54</t>
  </si>
  <si>
    <t>100,00%
2.487,24</t>
  </si>
  <si>
    <t>100,00%
1.595,00</t>
  </si>
  <si>
    <t>100,00%
2.454,64</t>
  </si>
  <si>
    <t>100,00%
1.036,15</t>
  </si>
  <si>
    <t>100,00%
14.125,32</t>
  </si>
  <si>
    <t>100,00%
1.284,82</t>
  </si>
  <si>
    <t>100,00%
8.701,32</t>
  </si>
  <si>
    <t>100,00%
4.139,18</t>
  </si>
  <si>
    <t>6,33%
3.272,06</t>
  </si>
  <si>
    <t>47,93%
24.779,82</t>
  </si>
  <si>
    <t>100,00%
2.140,79</t>
  </si>
  <si>
    <t>100,00%
4.520,85</t>
  </si>
  <si>
    <t>100,00%
6.544,12</t>
  </si>
  <si>
    <t>50,00%
3.272,06</t>
  </si>
  <si>
    <t>100,00%
25.138,71</t>
  </si>
  <si>
    <t>50,00%
12.569,36</t>
  </si>
  <si>
    <t>100,00%
4.553,52</t>
  </si>
  <si>
    <t>50,00%
2.276,76</t>
  </si>
  <si>
    <t>100,00%
3.881,05</t>
  </si>
  <si>
    <t>100,00%
3.611,16</t>
  </si>
  <si>
    <t>100,00%
503,89</t>
  </si>
  <si>
    <t>100,00%
2.755,28</t>
  </si>
  <si>
    <t>100,00%
351,99</t>
  </si>
  <si>
    <t>100,00%
1.736,95</t>
  </si>
  <si>
    <t>100,00%
564,37</t>
  </si>
  <si>
    <t>100,00%
688,43</t>
  </si>
  <si>
    <t>100,00%
116,06</t>
  </si>
  <si>
    <t>100,00%
8.573,08</t>
  </si>
  <si>
    <t>100,00%
5.530,40</t>
  </si>
  <si>
    <t>100,00%
10.690,99</t>
  </si>
  <si>
    <t>100,00%
19.314,43</t>
  </si>
  <si>
    <t>50.879,92</t>
  </si>
  <si>
    <t>100,0%</t>
  </si>
  <si>
    <t>Composição</t>
  </si>
  <si>
    <t>Composição Auxiliar</t>
  </si>
  <si>
    <t xml:space="preserve"> 88262 </t>
  </si>
  <si>
    <t xml:space="preserve"> 88316 </t>
  </si>
  <si>
    <t xml:space="preserve"> 94962 </t>
  </si>
  <si>
    <t>CONCRETO MAGRO PARA LASTRO, TRAÇO 1:4,5:4,5 (EM MASSA SECA DE CIMENTO/ AREIA MÉDIA/ BRITA 1) - PREPARO MECÂNICO COM BETONEIRA 400 L. AF_05/2021</t>
  </si>
  <si>
    <t>Insumo</t>
  </si>
  <si>
    <t xml:space="preserve"> 00004417 </t>
  </si>
  <si>
    <t>SARRAFO NAO APARELHADO *2,5 X 7* CM, EM MACARANDUBA, ANGELIM OU EQUIVALENTE DA REGIAO -  BRUTA</t>
  </si>
  <si>
    <t xml:space="preserve"> 00004491 </t>
  </si>
  <si>
    <t>PONTALETE *7,5 X 7,5* CM EM PINUS, MISTA OU EQUIVALENTE DA REGIAO - BRUTA</t>
  </si>
  <si>
    <t xml:space="preserve"> 00004813 </t>
  </si>
  <si>
    <t>PLACA DE OBRA (PARA CONSTRUCAO CIVIL) EM CHAPA GALVANIZADA *N. 22*, ADESIVADA, DE *2,4 X 1,2* M (SEM POSTES PARA FIXACAO)</t>
  </si>
  <si>
    <t xml:space="preserve"> 00005075 </t>
  </si>
  <si>
    <t>PREGO DE ACO POLIDO COM CABECA 18 X 30 (2 3/4 X 10)</t>
  </si>
  <si>
    <t>Valor do BDI =&gt;</t>
  </si>
  <si>
    <t>Valor com BDI =&gt;</t>
  </si>
  <si>
    <t xml:space="preserve"> 88309 </t>
  </si>
  <si>
    <t xml:space="preserve"> 00000370 </t>
  </si>
  <si>
    <t>AREIA MEDIA - POSTO JAZIDA/FORNECEDOR (RETIRADO NA JAZIDA, SEM TRANSPORTE)</t>
  </si>
  <si>
    <t xml:space="preserve"> 00001379 </t>
  </si>
  <si>
    <t>CIMENTO PORTLAND COMPOSTO CP II-32</t>
  </si>
  <si>
    <t xml:space="preserve"> 00007271 </t>
  </si>
  <si>
    <t>BLOCO CERAMICO / TIJOLO VAZADO PARA ALVENARIA DE VEDACAO, 8 FUROS NA HORIZONTAL, DE 9 X 19 X 19 CM (L XA X C)</t>
  </si>
  <si>
    <r>
      <rPr>
        <b/>
        <sz val="10"/>
        <color theme="1"/>
        <rFont val="Arial"/>
        <family val="2"/>
      </rPr>
      <t>ENCARGOS SOCIAIS DE REFERENCIA:</t>
    </r>
    <r>
      <rPr>
        <sz val="10"/>
        <color theme="1"/>
        <rFont val="Arial"/>
        <family val="2"/>
      </rPr>
      <t xml:space="preserve"> </t>
    </r>
  </si>
  <si>
    <r>
      <t xml:space="preserve">Município: </t>
    </r>
    <r>
      <rPr>
        <sz val="10"/>
        <rFont val="Arial"/>
        <family val="2"/>
      </rPr>
      <t>Toritama - PERNAMBUCO</t>
    </r>
  </si>
  <si>
    <t>114,00% (HORA) 69,76% (MÊS)</t>
  </si>
  <si>
    <r>
      <rPr>
        <b/>
        <sz val="10"/>
        <color theme="1"/>
        <rFont val="Arial"/>
        <family val="2"/>
      </rPr>
      <t>BDI NÃO DESONERADO:</t>
    </r>
    <r>
      <rPr>
        <sz val="10"/>
        <color theme="1"/>
        <rFont val="Arial"/>
        <family val="2"/>
      </rPr>
      <t xml:space="preserve"> 20,60% (NORMAL)</t>
    </r>
  </si>
  <si>
    <r>
      <rPr>
        <b/>
        <sz val="10"/>
        <color theme="1"/>
        <rFont val="Arial"/>
        <family val="2"/>
      </rPr>
      <t>BDI NÃO DESONERADO:</t>
    </r>
    <r>
      <rPr>
        <sz val="10"/>
        <color theme="1"/>
        <rFont val="Arial"/>
        <family val="2"/>
      </rPr>
      <t xml:space="preserve"> 13,84% (DIFERENCIADO)</t>
    </r>
  </si>
  <si>
    <r>
      <t>Tabelas de Referência:</t>
    </r>
    <r>
      <rPr>
        <sz val="10"/>
        <rFont val="Arial"/>
        <family val="2"/>
      </rPr>
      <t xml:space="preserve"> SINAPI NÃO DESONERADA (Março/23); SEINFRA 028; ORSE (Janeiro/2023)</t>
    </r>
  </si>
  <si>
    <r>
      <t xml:space="preserve">Data do orçamento: </t>
    </r>
    <r>
      <rPr>
        <sz val="10"/>
        <rFont val="Arial"/>
        <family val="2"/>
      </rPr>
      <t>(Abril/2023)</t>
    </r>
  </si>
  <si>
    <t>ANEXO-3 COMPOSIÇÕES PRÓPRIAS DE PREÇO UNITÁRIO</t>
  </si>
  <si>
    <r>
      <t xml:space="preserve">Obra: </t>
    </r>
    <r>
      <rPr>
        <sz val="10"/>
        <rFont val="Arial"/>
        <family val="2"/>
      </rPr>
      <t>CONSTRUÇÃO DE UMA PRAÇA, SITUADA NA RUA GALDINO AFONSO (Praça do Pelado)</t>
    </r>
  </si>
  <si>
    <r>
      <t xml:space="preserve">Endereço: </t>
    </r>
    <r>
      <rPr>
        <sz val="10"/>
        <rFont val="Arial"/>
        <family val="2"/>
      </rPr>
      <t>RUA GALDINO AFONSO (Praça do Pelado) - TORITAMA - PE</t>
    </r>
  </si>
  <si>
    <r>
      <t xml:space="preserve">Obra: </t>
    </r>
    <r>
      <rPr>
        <sz val="9"/>
        <rFont val="Arial"/>
        <family val="2"/>
      </rPr>
      <t>CONSTRUÇÃO DE UMA PRAÇA, SITUADA NA RUA GALDINO AFONSO (Praça do Pelado)</t>
    </r>
  </si>
  <si>
    <r>
      <rPr>
        <b/>
        <sz val="9"/>
        <color theme="1"/>
        <rFont val="Arial"/>
        <family val="2"/>
      </rPr>
      <t>ENCARGOS SOCIAIS DE REFERENCIA:</t>
    </r>
    <r>
      <rPr>
        <sz val="9"/>
        <color theme="1"/>
        <rFont val="Arial"/>
        <family val="2"/>
      </rPr>
      <t xml:space="preserve"> </t>
    </r>
  </si>
  <si>
    <r>
      <t xml:space="preserve">Município: </t>
    </r>
    <r>
      <rPr>
        <sz val="9"/>
        <rFont val="Arial"/>
        <family val="2"/>
      </rPr>
      <t>Toritama - PERNAMBUCO</t>
    </r>
  </si>
  <si>
    <r>
      <t xml:space="preserve">Endereço: </t>
    </r>
    <r>
      <rPr>
        <sz val="9"/>
        <rFont val="Arial"/>
        <family val="2"/>
      </rPr>
      <t>RUA GALDINO AFONSO (Praça do Pelado) - TORITAMA - PE</t>
    </r>
  </si>
  <si>
    <r>
      <rPr>
        <b/>
        <sz val="9"/>
        <color theme="1"/>
        <rFont val="Arial"/>
        <family val="2"/>
      </rPr>
      <t>BDI NÃO DESONERADO:</t>
    </r>
    <r>
      <rPr>
        <sz val="9"/>
        <color theme="1"/>
        <rFont val="Arial"/>
        <family val="2"/>
      </rPr>
      <t xml:space="preserve"> 20,60% (NORMAL)</t>
    </r>
  </si>
  <si>
    <r>
      <t>Tabelas de Referência:</t>
    </r>
    <r>
      <rPr>
        <sz val="9"/>
        <rFont val="Arial"/>
        <family val="2"/>
      </rPr>
      <t xml:space="preserve"> SINAPI NÃO DESONERADA (Março/23); SEINFRA 028; ORSE (Janeiro/2023)</t>
    </r>
  </si>
  <si>
    <r>
      <rPr>
        <b/>
        <sz val="9"/>
        <color theme="1"/>
        <rFont val="Arial"/>
        <family val="2"/>
      </rPr>
      <t>BDI NÃO DESONERADO:</t>
    </r>
    <r>
      <rPr>
        <sz val="9"/>
        <color theme="1"/>
        <rFont val="Arial"/>
        <family val="2"/>
      </rPr>
      <t xml:space="preserve"> 13,84% (DIFERENCIADO)</t>
    </r>
  </si>
  <si>
    <r>
      <t xml:space="preserve">Data do orçamento: </t>
    </r>
    <r>
      <rPr>
        <sz val="9"/>
        <rFont val="Arial"/>
        <family val="2"/>
      </rPr>
      <t>(Abril/2023)</t>
    </r>
  </si>
  <si>
    <t>BDI Não desoneração (Fórmula Acórdão TCU)</t>
  </si>
  <si>
    <t>BDI - 1 (NORMAL)</t>
  </si>
  <si>
    <t>BDI - 2 (DIFERENCIADO)</t>
  </si>
  <si>
    <t>ANEXO-4 COTAÇÕES DE PREÇO UNITÁRIO</t>
  </si>
  <si>
    <t xml:space="preserve">Porcentagem Acumulado = </t>
  </si>
  <si>
    <t>ANEXO-6 CORNOGRAMA FÍSICO FINANCEIRO</t>
  </si>
  <si>
    <t xml:space="preserve">ANEXO-7 CURVA "ABC" DE SERVIÇOS </t>
  </si>
  <si>
    <t>C.U.P. - 1</t>
  </si>
  <si>
    <t>C.U.P .- 2</t>
  </si>
  <si>
    <t>Poste em aço galvanizado, para iluminação pública, cônico, contínuo, reto, h=6.00m, d=126mm (base) e d=60mm (topo)ref.1006/B, incl.base concreto</t>
  </si>
  <si>
    <t>00335/ORSE Poste em aço galvanizado, para iluminação pública, cônico, contínuo, reto, h=6.00m, d=126mm (base) e d=60mm (topo)ref.1006/B, incl.base concreto un 1961,13</t>
  </si>
  <si>
    <t>00335</t>
  </si>
  <si>
    <t>POSTE EM AÇO GALVANIZADO, PARA ILUMINAÇÃO PÚBLICA, CÔNICO, CONTÍNUO, RETO, H=6.00M, D=126MM (BASE) E D=60MM (TOPO)REF.1006/B, INCL.BASE CONCRETO.</t>
  </si>
  <si>
    <t>POSTE DECORATIVO 1 PÉTALAS, EM AÇO GALVANIZADO COM DIFUSOR EM VIDRO TRANSPARENTE TEMPERADO, COM 3M/4M, INCLUSIVE LÂMPADA DE LED 50W..</t>
  </si>
  <si>
    <t>REFLETOR SLIM LED 50W DE POTÊNCIA, BRANCO FRIO, 6500K, AUTOVOLT, MARCA G-LIGHT OU SIMILAR..</t>
  </si>
  <si>
    <t>Fornecimento e instalação de suporte de fixação em chapa de aço galvanizado, para 02 luminária, encaixe em poste com topo de Ø de 60,3mm externo, da Induspar ou similar</t>
  </si>
  <si>
    <t>13355/ORSE Fornecimento e instalação de suporte de fixação em chapa de aço galvanizado, para 02 luminária, encaixe em poste com topo de Ø de 60,3mm externo, da Induspar ou similar un 213,61</t>
  </si>
  <si>
    <t>13355</t>
  </si>
  <si>
    <t>FORNECIMENTO E INSTALAÇÃO DE SUPORTE DE FIXAÇÃO EM CHAPA DE AÇO GALVANIZADO, PARA 02 LUMINÁRIA, ENCAIXE EM POSTE COM TOPO DE Ø DE 60,3MM EXTERNO, DA INDUSPAR OU SIMILAR.</t>
  </si>
  <si>
    <t>93655 DISJUNTOR MONOPOLAR TIPO DIN, CORRENTE NOMINAL DE 20A - FORNECIMENTO E INSTALAÇÃO. AF_10/2020 UN CR 15,51</t>
  </si>
  <si>
    <t>93655</t>
  </si>
  <si>
    <t>DISJUNTOR MONOPOLAR TIPO DIN, CORRENTE NOMINAL DE 20A - FORNECIMENTO E INSTALAÇÃO. AF_10/2020.</t>
  </si>
  <si>
    <t>91872 ELETRODUTO RÍGIDO ROSCÁVEL, PVC, DN 32 MM (1"), PARA CIRCUITOS TERMINAIS, INSTALADO EM PAREDE - FORNECIMENTO E INSTALAÇÃO. AF_03/2023 M CR 16,58</t>
  </si>
  <si>
    <t>ELETRODUTO RÍGIDO ROSCÁVEL, PVC, DN 32 MM (1"), PARA CIRCUITOS TERMINAIS, INSTALADO EM PAREDE - FORNECIMENTO E INSTALAÇÃO. AF_03/2023.</t>
  </si>
  <si>
    <t>91871 ELETRODUTO RÍGIDO ROSCÁVEL, PVC, DN 25 MM (3/4"), PARA CIRCUITOS TERMINAIS, INSTALADO EM PAREDE - FORNECIMENTO E INSTALAÇÃO. AF_03/2023 M CR 12,69</t>
  </si>
  <si>
    <t>91872</t>
  </si>
  <si>
    <t>91871</t>
  </si>
  <si>
    <t>ELETRODUTO RÍGIDO ROSCÁVEL, PVC, DN 25 MM (3/4"), PARA CIRCUITOS TERMINAIS, INSTALADO EM PAREDE - FORNECIMENTO E INSTALAÇÃO. AF_03/2023.</t>
  </si>
  <si>
    <t>91914 CURVA 90 GRAUS PARA ELETRODUTO, PVC, ROSCÁVEL, DN 25 MM (3/4"), PARA CIRCUITOS TERMINAIS, INSTALADA EM PAREDE - FORNECIMENTO E INSTALAÇÃO. AF_03/2023 UN CR 15,85</t>
  </si>
  <si>
    <t>91914</t>
  </si>
  <si>
    <t>CURVA 90 GRAUS PARA ELETRODUTO, PVC, ROSCÁVEL, DN 25 MM (3/4"), PARA CIRCUITOS TERMINAIS, INSTALADA EM PAREDE - FORNECIMENTO E INSTALAÇÃO. AF_03/2023.</t>
  </si>
  <si>
    <t>91917 CURVA 90 GRAUS PARA ELETRODUTO, PVC, ROSCÁVEL, DN 32 MM (1"), PARA CIRCUITOS TERMINAIS, INSTALADA EM PAREDE - FORNECIMENTO E INSTALAÇÃO. AF_03/2023 UN CR 19,13</t>
  </si>
  <si>
    <t>91917</t>
  </si>
  <si>
    <t>CURVA 90 GRAUS PARA ELETRODUTO, PVC, ROSCÁVEL, DN 32 MM (1"), PARA CIRCUITOS TERMINAIS, INSTALADA EM PAREDE - FORNECIMENTO E INSTALAÇÃO. AF_03/2023.</t>
  </si>
  <si>
    <t>93018 CURVA 90 GRAUS PARA ELETRODUTO, PVC, ROSCÁVEL, DN 50 MM (1 1/2"), PARA REDE ENTERRADA DE DISTRIBUIÇÃO DE ENERGIA ELÉTRICA - FORNECIMENTO E INSTALAÇÃO. AF_12/2021 UN CR 21,56</t>
  </si>
  <si>
    <t>93018</t>
  </si>
  <si>
    <t>CURVA 90 GRAUS PARA ELETRODUTO, PVC, ROSCÁVEL, DN 50 MM (1 1/2"), PARA REDE ENTERRADA DE DISTRIBUIÇÃO DE ENERGIA ELÉTRICA - FORNECIMENTO E INSTALAÇÃO. AF_12/2021.</t>
  </si>
  <si>
    <t>97886</t>
  </si>
  <si>
    <t>FITA ISOLANTE ADESIVA ANTICHAMA, USO ATE 750 V, EM ROLO DE 19 MM X 5 M</t>
  </si>
  <si>
    <t>AUXILIAR DE ELETRICISTA COM ENCARGOS COMPLEMENTARES</t>
  </si>
  <si>
    <t>ELETRICISTA COM ENCARGOS COMPLEMENTARES</t>
  </si>
  <si>
    <t>CABO MULTIPOLAR DE COBRE, FLEXIVEL, CLASSE 4 OU 5, ISOLACAO EM HEPR, COBERTURA EM PVC-ST2, ANTICHAMA BWF-B, 0,6/1 KV, 3 CONDUTORES DE 16 MM2, PARA CIRCUITOS TERMINAIS - FORNECIMENTO E INSTALAÇÃO.</t>
  </si>
  <si>
    <t>91935-MOD.</t>
  </si>
  <si>
    <t>CABO MULTIPOLAR DE COBRE, FLEXIVEL, CLASSE 4 OU 5, ISOLACAO EM HEPR, COBERTURA EM PVC-ST2, ANTICHAMA BWF-B, 0,6/1 KV, 3 CONDUTORES DE 16 MM2</t>
  </si>
  <si>
    <t>91933 - MOD.</t>
  </si>
  <si>
    <t>CABO MULTIPOLAR DE COBRE, FLEXIVEL, CLASSE 4 OU 5, ISOLACAO EM HEPR, COBERTURA EM PVC-ST2, ANTICHAMA BWF-B, 0,6/1 KV, 3 CONDUTORES DE 10 MM2</t>
  </si>
  <si>
    <t>CABO MULTIPOLAR DE COBRE, FLEXIVEL, CLASSE 4 OU 5, ISOLACAO EM HEPR, COBERTURA EM PVC-ST2, ANTICHAMA BWF-B, 0,6/1 KV, 3 CONDUTORES DE 10 MM2, PARA CIRCUITOS TERMINAIS - FORNECIMENTO E INSTALAÇÃO.</t>
  </si>
  <si>
    <t>91931 - MOD.</t>
  </si>
  <si>
    <t>CABO MULTIPOLAR DE COBRE, FLEXIVEL, CLASSE 4 OU 5, ISOLACAO EM HEPR, COBERTURA EM PVC-ST2, ANTICHAMA BWF-B, 0,6/1 KV, 3 CONDUTORES DE 6 MM2</t>
  </si>
  <si>
    <t>CABO MULTIPOLAR DE COBRE, FLEXIVEL, CLASSE 4 OU 5, ISOLACAO EM HEPR, COBERTURA EM PVC-ST2, ANTICHAMA BWF-B, 0,6/1 KV, 3 CONDUTORES DE 6 MM2, PARA CIRCUITOS TERMINAIS - FORNECIMENTO E INSTALAÇÃO.</t>
  </si>
  <si>
    <t>91929 - MOD.</t>
  </si>
  <si>
    <t>CABO MULTIPOLAR DE COBRE, FLEXIVEL, CLASSE 4 OU 5, ISOLACAO EM HEPR, COBERTURA EM PVC-ST2, ANTICHAMA BWF-B, 0,6/1 KV, 3 CONDUTORES DE 4 MM2</t>
  </si>
  <si>
    <t>CABO MULTIPOLAR DE COBRE, FLEXIVEL, CLASSE 4 OU 5, ISOLACAO EM HEPR, COBERTURA EM PVC-ST2, ANTICHAMA BWF-B, 0,6/1 KV, 3 CONDUTORES DE 4 MM2, PARA CIRCUITOS TERMINAIS - FORNECIMENTO E INSTALAÇÃO.</t>
  </si>
  <si>
    <t>91927 - MOD.</t>
  </si>
  <si>
    <t>CABO MULTIPOLAR DE COBRE, FLEXIVEL, CLASSE 4 OU 5, ISOLACAO EM HEPR, COBERTURA EM PVC-ST2, ANTICHAMA BWF-B, 0,6/1 KV, 3 CONDUTORES DE 2,5 MM2</t>
  </si>
  <si>
    <t>CABO MULTIPOLAR DE COBRE, FLEXIVEL, CLASSE 4 OU 5, ISOLACAO EM HEPR, COBERTURA EM PVC-ST2, ANTICHAMA BWF-B, 0,6/1 KV, 3 CONDUTORES DE 2,5 MM2, PARA CIRCUITOS TERMINAIS - FORNECIMENTO E INSTALAÇÃO.</t>
  </si>
  <si>
    <t>96985 HASTE DE ATERRAMENTO 5/8 PARA SPDA - FORNECIMENTO E INSTALAÇÃO. AF_12/2017 UN CR 100,89</t>
  </si>
  <si>
    <t>96985</t>
  </si>
  <si>
    <t>HASTE DE ATERRAMENTO 5/8 PARA SPDA - FORNECIMENTO E INSTALAÇÃO. AF_12/2017.</t>
  </si>
  <si>
    <t>Fornecimento de relé fotoelétrico indiv. 5a/220v, c/ base móvel</t>
  </si>
  <si>
    <t>03333/ORSE Fornecimento de relé fotoelétrico indiv. 5a/220v, c/ base móvel un 36,83</t>
  </si>
  <si>
    <t>03333</t>
  </si>
  <si>
    <t>FORNECIMENTO DE RELÉ FOTOELÉTRICO INDIV. 5A/220V, C/ BASE MÓVEL.</t>
  </si>
  <si>
    <t>6.14</t>
  </si>
  <si>
    <t>6.15</t>
  </si>
  <si>
    <t>6.16</t>
  </si>
  <si>
    <t>6.17</t>
  </si>
  <si>
    <t>6.18</t>
  </si>
  <si>
    <t>6.19</t>
  </si>
  <si>
    <t>6.20</t>
  </si>
  <si>
    <t>6.21</t>
  </si>
  <si>
    <t>6.22</t>
  </si>
  <si>
    <t>6.23</t>
  </si>
  <si>
    <t>6.24</t>
  </si>
  <si>
    <t>6.25</t>
  </si>
  <si>
    <t xml:space="preserve"> 335 </t>
  </si>
  <si>
    <t xml:space="preserve"> 13355 </t>
  </si>
  <si>
    <t xml:space="preserve"> 3333 </t>
  </si>
  <si>
    <t xml:space="preserve"> 93655 </t>
  </si>
  <si>
    <t>DISJUNTOR MONOPOLAR TIPO DIN, CORRENTE NOMINAL DE 20A - FORNECIMENTO E INSTALAÇÃO. AF_10/2020</t>
  </si>
  <si>
    <t xml:space="preserve"> 6.14 </t>
  </si>
  <si>
    <t xml:space="preserve"> 91872 </t>
  </si>
  <si>
    <t>ELETRODUTO RÍGIDO ROSCÁVEL, PVC, DN 32 MM (1"), PARA CIRCUITOS TERMINAIS, INSTALADO EM PAREDE - FORNECIMENTO E INSTALAÇÃO. AF_12/2015</t>
  </si>
  <si>
    <t xml:space="preserve"> 6.15 </t>
  </si>
  <si>
    <t xml:space="preserve"> 91871 </t>
  </si>
  <si>
    <t>ELETRODUTO RÍGIDO ROSCÁVEL, PVC, DN 25 MM (3/4"), PARA CIRCUITOS TERMINAIS, INSTALADO EM PAREDE - FORNECIMENTO E INSTALAÇÃO. AF_03/2023</t>
  </si>
  <si>
    <t xml:space="preserve"> 6.16 </t>
  </si>
  <si>
    <t xml:space="preserve"> 91914 </t>
  </si>
  <si>
    <t>CURVA 90 GRAUS PARA ELETRODUTO, PVC, ROSCÁVEL, DN 25 MM (3/4"), PARA CIRCUITOS TERMINAIS, INSTALADA EM PAREDE - FORNECIMENTO E INSTALAÇÃO. AF_03/2023</t>
  </si>
  <si>
    <t xml:space="preserve"> 6.17 </t>
  </si>
  <si>
    <t xml:space="preserve"> 91917 </t>
  </si>
  <si>
    <t>CURVA 90 GRAUS PARA ELETRODUTO, PVC, ROSCÁVEL, DN 32 MM (1"), PARA CIRCUITOS TERMINAIS, INSTALADA EM PAREDE - FORNECIMENTO E INSTALAÇÃO. AF_12/2015</t>
  </si>
  <si>
    <t xml:space="preserve"> 6.18 </t>
  </si>
  <si>
    <t xml:space="preserve"> 93018 </t>
  </si>
  <si>
    <t>CURVA 90 GRAUS PARA ELETRODUTO, PVC, ROSCÁVEL, DN 50 MM (1 1/2"), PARA REDE ENTERRADA DE DISTRIBUIÇÃO DE ENERGIA ELÉTRICA - FORNECIMENTO E INSTALAÇÃO. AF_12/2021</t>
  </si>
  <si>
    <t xml:space="preserve"> 6.19 </t>
  </si>
  <si>
    <t xml:space="preserve"> 6.20 </t>
  </si>
  <si>
    <t xml:space="preserve"> 91935 - MOD. </t>
  </si>
  <si>
    <t xml:space="preserve"> 6.21 </t>
  </si>
  <si>
    <t xml:space="preserve"> 91933 - MOD. </t>
  </si>
  <si>
    <t xml:space="preserve"> 6.22 </t>
  </si>
  <si>
    <t xml:space="preserve"> 91931 - MOD. </t>
  </si>
  <si>
    <t xml:space="preserve"> 6.23 </t>
  </si>
  <si>
    <t xml:space="preserve"> 91929 - MOD. </t>
  </si>
  <si>
    <t xml:space="preserve"> 6.24 </t>
  </si>
  <si>
    <t xml:space="preserve"> 91927 - MOD. </t>
  </si>
  <si>
    <t xml:space="preserve"> 6.25 </t>
  </si>
  <si>
    <t xml:space="preserve"> 96985 </t>
  </si>
  <si>
    <t>HASTE DE ATERRAMENTO 5/8  PARA SPDA - FORNECIMENTO E INSTALAÇÃO. AF_12/2017</t>
  </si>
  <si>
    <t>100,00%
51.697,92</t>
  </si>
  <si>
    <t>45,74%
23.646,05</t>
  </si>
  <si>
    <t>100,00%
4.918,88</t>
  </si>
  <si>
    <t>100,00%
70.039,68</t>
  </si>
  <si>
    <t>2,48%
1.736,95</t>
  </si>
  <si>
    <t>4,42%
3.095,53</t>
  </si>
  <si>
    <t>91,04%
63.763,79</t>
  </si>
  <si>
    <t>2,06%
1.443,41</t>
  </si>
  <si>
    <t>100,00%
21.402,72</t>
  </si>
  <si>
    <t>100,00%
2.326,59</t>
  </si>
  <si>
    <t>100,00%
19.599,84</t>
  </si>
  <si>
    <t>100,00%
35,32</t>
  </si>
  <si>
    <t>100,00%
6.432,24</t>
  </si>
  <si>
    <t>100,00%
1.272,26</t>
  </si>
  <si>
    <t>100,00%
38,14</t>
  </si>
  <si>
    <t>100,00%
16,95</t>
  </si>
  <si>
    <t>100,00%
672,00</t>
  </si>
  <si>
    <t>100,00%
1.688,80</t>
  </si>
  <si>
    <t>100,00%
489,00</t>
  </si>
  <si>
    <t>100,00%
228,36</t>
  </si>
  <si>
    <t>100,00%
174,37</t>
  </si>
  <si>
    <t>100,00%
111,56</t>
  </si>
  <si>
    <t>100,00%
3.095,53</t>
  </si>
  <si>
    <t>100,00%
771,70</t>
  </si>
  <si>
    <t>100,00%
4.387,50</t>
  </si>
  <si>
    <t>100,00%
976,32</t>
  </si>
  <si>
    <t>100,00%
405,80</t>
  </si>
  <si>
    <t>100,00%
1.208,70</t>
  </si>
  <si>
    <t>100,00%
1.600,17</t>
  </si>
  <si>
    <t>100,00%
50.126,60</t>
  </si>
  <si>
    <t>32,36%
16.221,39</t>
  </si>
  <si>
    <t>67,64%
33.905,21</t>
  </si>
  <si>
    <t>100,00%
6.017,70</t>
  </si>
  <si>
    <t>17,23%</t>
  </si>
  <si>
    <t>15,23%</t>
  </si>
  <si>
    <t>46,33%</t>
  </si>
  <si>
    <t>21,2%</t>
  </si>
  <si>
    <t>44.967,39</t>
  </si>
  <si>
    <t>136.795,38</t>
  </si>
  <si>
    <t>62.605,83</t>
  </si>
  <si>
    <t>32,46%</t>
  </si>
  <si>
    <t>78,8%</t>
  </si>
  <si>
    <t>95.847,30</t>
  </si>
  <si>
    <t>232.642,68</t>
  </si>
  <si>
    <t>295.248,51</t>
  </si>
  <si>
    <t xml:space="preserve">Porcentagem = </t>
  </si>
  <si>
    <t xml:space="preserve">Custo Mensal = </t>
  </si>
  <si>
    <t xml:space="preserve">Custo Acumulado = </t>
  </si>
  <si>
    <t>12,07</t>
  </si>
  <si>
    <t>9,59</t>
  </si>
  <si>
    <t>21,66</t>
  </si>
  <si>
    <t>8,47</t>
  </si>
  <si>
    <t>30,13</t>
  </si>
  <si>
    <t>9,0</t>
  </si>
  <si>
    <t>1.971,88</t>
  </si>
  <si>
    <t>17.746,92</t>
  </si>
  <si>
    <t>7,21</t>
  </si>
  <si>
    <t>37,34</t>
  </si>
  <si>
    <t>6,89</t>
  </si>
  <si>
    <t>44,23</t>
  </si>
  <si>
    <t>18,0</t>
  </si>
  <si>
    <t>16.252,02</t>
  </si>
  <si>
    <t>6,60</t>
  </si>
  <si>
    <t>50,83</t>
  </si>
  <si>
    <t>3,60</t>
  </si>
  <si>
    <t>54,44</t>
  </si>
  <si>
    <t>2,93</t>
  </si>
  <si>
    <t>57,37</t>
  </si>
  <si>
    <t>2,89</t>
  </si>
  <si>
    <t>60,26</t>
  </si>
  <si>
    <t>2,48</t>
  </si>
  <si>
    <t>62,74</t>
  </si>
  <si>
    <t>2,23</t>
  </si>
  <si>
    <t>64,97</t>
  </si>
  <si>
    <t>2,20</t>
  </si>
  <si>
    <t>67,17</t>
  </si>
  <si>
    <t>2.666,77</t>
  </si>
  <si>
    <t>5.333,54</t>
  </si>
  <si>
    <t>2,17</t>
  </si>
  <si>
    <t>69,34</t>
  </si>
  <si>
    <t>2,15</t>
  </si>
  <si>
    <t>71,49</t>
  </si>
  <si>
    <t>1,86</t>
  </si>
  <si>
    <t>73,35</t>
  </si>
  <si>
    <t>94,20</t>
  </si>
  <si>
    <t>4.078,86</t>
  </si>
  <si>
    <t>75,01</t>
  </si>
  <si>
    <t>1,55</t>
  </si>
  <si>
    <t>76,56</t>
  </si>
  <si>
    <t>1,53</t>
  </si>
  <si>
    <t>78,10</t>
  </si>
  <si>
    <t>1,52</t>
  </si>
  <si>
    <t>79,62</t>
  </si>
  <si>
    <t>90,0</t>
  </si>
  <si>
    <t>40,43</t>
  </si>
  <si>
    <t>3.638,70</t>
  </si>
  <si>
    <t>1,48</t>
  </si>
  <si>
    <t>81,10</t>
  </si>
  <si>
    <t>1,39</t>
  </si>
  <si>
    <t>82,49</t>
  </si>
  <si>
    <t>1,31</t>
  </si>
  <si>
    <t>83,80</t>
  </si>
  <si>
    <t>1,30</t>
  </si>
  <si>
    <t>85,09</t>
  </si>
  <si>
    <t>17,0</t>
  </si>
  <si>
    <t>2.566,83</t>
  </si>
  <si>
    <t>1,04</t>
  </si>
  <si>
    <t>86,14</t>
  </si>
  <si>
    <t>0,93</t>
  </si>
  <si>
    <t>87,07</t>
  </si>
  <si>
    <t>0,92</t>
  </si>
  <si>
    <t>87,98</t>
  </si>
  <si>
    <t>0,84</t>
  </si>
  <si>
    <t>88,82</t>
  </si>
  <si>
    <t>0,83</t>
  </si>
  <si>
    <t>89,65</t>
  </si>
  <si>
    <t>214,36</t>
  </si>
  <si>
    <t>1.929,24</t>
  </si>
  <si>
    <t>90,43</t>
  </si>
  <si>
    <t>0,72</t>
  </si>
  <si>
    <t>91,94</t>
  </si>
  <si>
    <t>93,10</t>
  </si>
  <si>
    <t>80,0</t>
  </si>
  <si>
    <t>17,51</t>
  </si>
  <si>
    <t>1.400,80</t>
  </si>
  <si>
    <t>0,57</t>
  </si>
  <si>
    <t>93,67</t>
  </si>
  <si>
    <t>13,0</t>
  </si>
  <si>
    <t>102,07</t>
  </si>
  <si>
    <t>1.326,91</t>
  </si>
  <si>
    <t>0,54</t>
  </si>
  <si>
    <t>94,21</t>
  </si>
  <si>
    <t>94,75</t>
  </si>
  <si>
    <t>0,49</t>
  </si>
  <si>
    <t>95,24</t>
  </si>
  <si>
    <t>0,43</t>
  </si>
  <si>
    <t>95,67</t>
  </si>
  <si>
    <t>95,91</t>
  </si>
  <si>
    <t>1.055,01</t>
  </si>
  <si>
    <t>96,10</t>
  </si>
  <si>
    <t>11,14</t>
  </si>
  <si>
    <t>1.002,60</t>
  </si>
  <si>
    <t>96,51</t>
  </si>
  <si>
    <t>0,35</t>
  </si>
  <si>
    <t>96,86</t>
  </si>
  <si>
    <t>0,34</t>
  </si>
  <si>
    <t>97,20</t>
  </si>
  <si>
    <t>0,33</t>
  </si>
  <si>
    <t>97,53</t>
  </si>
  <si>
    <t>32,0</t>
  </si>
  <si>
    <t>25,30</t>
  </si>
  <si>
    <t>809,60</t>
  </si>
  <si>
    <t>97,86</t>
  </si>
  <si>
    <t>0,26</t>
  </si>
  <si>
    <t>98,12</t>
  </si>
  <si>
    <t>63,99</t>
  </si>
  <si>
    <t>639,90</t>
  </si>
  <si>
    <t>98,38</t>
  </si>
  <si>
    <t>0,25</t>
  </si>
  <si>
    <t>98,63</t>
  </si>
  <si>
    <t>557,40</t>
  </si>
  <si>
    <t>0,23</t>
  </si>
  <si>
    <t>98,85</t>
  </si>
  <si>
    <t>0,19</t>
  </si>
  <si>
    <t>99,04</t>
  </si>
  <si>
    <t>0,17</t>
  </si>
  <si>
    <t>99,21</t>
  </si>
  <si>
    <t>13,52</t>
  </si>
  <si>
    <t>405,60</t>
  </si>
  <si>
    <t>0,16</t>
  </si>
  <si>
    <t>99,38</t>
  </si>
  <si>
    <t>20,0</t>
  </si>
  <si>
    <t>16,83</t>
  </si>
  <si>
    <t>336,60</t>
  </si>
  <si>
    <t>0,14</t>
  </si>
  <si>
    <t>99,51</t>
  </si>
  <si>
    <t>0,12</t>
  </si>
  <si>
    <t>99,64</t>
  </si>
  <si>
    <t>99,76</t>
  </si>
  <si>
    <t>17,22</t>
  </si>
  <si>
    <t>189,42</t>
  </si>
  <si>
    <t>0,08</t>
  </si>
  <si>
    <t>99,83</t>
  </si>
  <si>
    <t>7,0</t>
  </si>
  <si>
    <t>20,66</t>
  </si>
  <si>
    <t>144,62</t>
  </si>
  <si>
    <t>0,06</t>
  </si>
  <si>
    <t>99,89</t>
  </si>
  <si>
    <t>23,13</t>
  </si>
  <si>
    <t>92,52</t>
  </si>
  <si>
    <t>99,97</t>
  </si>
  <si>
    <t>15,82</t>
  </si>
  <si>
    <t>31,64</t>
  </si>
  <si>
    <t>0,01</t>
  </si>
  <si>
    <t>29,29</t>
  </si>
  <si>
    <t>99,99</t>
  </si>
  <si>
    <r>
      <t>Tabelas de Referência:</t>
    </r>
    <r>
      <rPr>
        <sz val="10"/>
        <rFont val="Arial"/>
        <family val="2"/>
      </rPr>
      <t xml:space="preserve"> SINAPI NÃO DESONERADA (Março/23); SEINFRA 028; ORSE (Fevereiro/2023)</t>
    </r>
  </si>
  <si>
    <t xml:space="preserve"> 88247 </t>
  </si>
  <si>
    <t xml:space="preserve"> 88264 </t>
  </si>
  <si>
    <t xml:space="preserve"> 00039262 </t>
  </si>
  <si>
    <t xml:space="preserve"> 00021127 </t>
  </si>
  <si>
    <t xml:space="preserve"> 00039261 </t>
  </si>
  <si>
    <t xml:space="preserve"> 00039260 </t>
  </si>
  <si>
    <t xml:space="preserve"> 00039259 </t>
  </si>
  <si>
    <t xml:space="preserve"> 00039258 </t>
  </si>
  <si>
    <t>ANEXO-8 ENCARGOS SOCIAIS DE REFERÊNCIA</t>
  </si>
  <si>
    <t>NOTAS:</t>
  </si>
  <si>
    <t>1 - Os itens destacados com sobreamento, foram os itens que estão com a incidência do BDI DIFERENCIADO (19,58%);</t>
  </si>
  <si>
    <r>
      <t>2 - O metódo de cálculo deste orçamento foi baseado na “</t>
    </r>
    <r>
      <rPr>
        <b/>
        <sz val="11"/>
        <rFont val="Arial"/>
        <family val="2"/>
      </rPr>
      <t>Cartilha de orientações para elaboração de planilhas orçamentarias de obras publicas</t>
    </r>
    <r>
      <rPr>
        <sz val="11"/>
        <color theme="1"/>
        <rFont val="Calibri"/>
        <family val="2"/>
        <scheme val="minor"/>
      </rPr>
      <t xml:space="preserve">”. No item 2.11.3 – Aproximação, página 19 explica: </t>
    </r>
    <r>
      <rPr>
        <b/>
        <u/>
        <sz val="11"/>
        <rFont val="Arial"/>
        <family val="2"/>
      </rPr>
      <t>“Padrão de Cálculo do TCU” (Truncar em 2 casas decimais)</t>
    </r>
    <r>
      <rPr>
        <sz val="11"/>
        <color theme="1"/>
        <rFont val="Calibri"/>
        <family val="2"/>
        <scheme val="minor"/>
      </rPr>
      <t>;</t>
    </r>
  </si>
  <si>
    <t>(DUZENTOS E NOVENTA E CINCO MIL, DUZENTOS E QUARENTA E OITO REAIS E CINQUENTA E UM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</si>
</sst>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 #,##0.00_);_(* \(#,##0.00\);_(* &quot;-&quot;??_);_(@_)"/>
    <numFmt numFmtId="165" formatCode="_(&quot;R$ &quot;* #,##0.00_);_(&quot;R$ &quot;* \(#,##0.00\);_(&quot;R$ &quot;* \-??_);_(@_)"/>
    <numFmt numFmtId="166" formatCode="General;General"/>
    <numFmt numFmtId="167" formatCode="[$-F800]dddd\,\ mmmm\ dd\,\ yyyy"/>
    <numFmt numFmtId="168" formatCode="dd&quot; de &quot;mmmm&quot; de &quot;yyyy"/>
    <numFmt numFmtId="169" formatCode="#,##0.0000000"/>
    <numFmt numFmtId="170" formatCode="#,##0.00\ %"/>
    <numFmt numFmtId="171" formatCode="_-* #,##0.000_-;\-* #,##0.000_-;_-* &quot;-&quot;??_-;_-@_-"/>
  </numFmts>
  <fonts count="61" x14ac:knownFonts="1">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8"/>
      <name val="Arial"/>
      <family val="2"/>
    </font>
    <font>
      <b/>
      <sz val="8"/>
      <name val="Arial"/>
      <family val="2"/>
    </font>
    <font>
      <sz val="8"/>
      <color theme="1"/>
      <name val="Arial"/>
      <family val="2"/>
    </font>
    <font>
      <sz val="8"/>
      <name val="Arial"/>
      <family val="2"/>
    </font>
    <font>
      <b/>
      <sz val="14"/>
      <name val="Arial"/>
      <family val="2"/>
    </font>
    <font>
      <b/>
      <sz val="8"/>
      <color theme="1"/>
      <name val="Arial"/>
      <family val="2"/>
    </font>
    <font>
      <b/>
      <sz val="12"/>
      <name val="Arial"/>
      <family val="2"/>
    </font>
    <font>
      <b/>
      <sz val="10"/>
      <color indexed="12"/>
      <name val="Arial"/>
      <family val="2"/>
    </font>
    <font>
      <sz val="9"/>
      <name val="Arial"/>
      <family val="2"/>
    </font>
    <font>
      <sz val="10"/>
      <name val="Calibri"/>
      <family val="2"/>
    </font>
    <font>
      <sz val="8"/>
      <name val="Calibri"/>
      <family val="2"/>
    </font>
    <font>
      <b/>
      <sz val="11"/>
      <name val="Arial"/>
      <family val="2"/>
    </font>
    <font>
      <sz val="11"/>
      <name val="Arial"/>
      <family val="2"/>
    </font>
    <font>
      <sz val="10"/>
      <color indexed="10"/>
      <name val="Arial"/>
      <family val="2"/>
    </font>
    <font>
      <u/>
      <sz val="10"/>
      <name val="Arial"/>
      <family val="2"/>
    </font>
    <font>
      <b/>
      <sz val="9"/>
      <color indexed="8"/>
      <name val="Tahoma"/>
      <family val="2"/>
    </font>
    <font>
      <sz val="9"/>
      <color indexed="8"/>
      <name val="Tahoma"/>
      <family val="2"/>
    </font>
    <font>
      <b/>
      <sz val="9"/>
      <name val="Arial"/>
      <family val="2"/>
    </font>
    <font>
      <sz val="9"/>
      <color theme="1"/>
      <name val="Arial"/>
      <family val="2"/>
    </font>
    <font>
      <sz val="8"/>
      <color rgb="FFFF0000"/>
      <name val="Arial"/>
      <family val="2"/>
    </font>
    <font>
      <sz val="10"/>
      <name val="Arial Narrow"/>
      <family val="2"/>
    </font>
    <font>
      <b/>
      <sz val="10"/>
      <name val="Arial Narrow"/>
      <family val="2"/>
    </font>
    <font>
      <sz val="12"/>
      <name val="Arial Narrow"/>
      <family val="2"/>
    </font>
    <font>
      <sz val="8"/>
      <name val="Calibri"/>
      <family val="2"/>
      <scheme val="minor"/>
    </font>
    <font>
      <b/>
      <sz val="9"/>
      <color theme="1"/>
      <name val="Arial"/>
      <family val="2"/>
    </font>
    <font>
      <b/>
      <sz val="12"/>
      <color indexed="10"/>
      <name val="Arial"/>
      <family val="2"/>
    </font>
    <font>
      <i/>
      <sz val="12"/>
      <name val="Calibri"/>
      <family val="2"/>
    </font>
    <font>
      <i/>
      <u/>
      <sz val="12"/>
      <name val="Calibri"/>
      <family val="2"/>
    </font>
    <font>
      <u/>
      <sz val="11"/>
      <color theme="10"/>
      <name val="Calibri"/>
      <family val="2"/>
      <scheme val="minor"/>
    </font>
    <font>
      <sz val="11"/>
      <color rgb="FFFF0000"/>
      <name val="Calibri"/>
      <family val="2"/>
      <scheme val="minor"/>
    </font>
    <font>
      <b/>
      <sz val="12"/>
      <name val="Arial Narrow"/>
      <family val="2"/>
    </font>
    <font>
      <b/>
      <sz val="11"/>
      <color theme="1"/>
      <name val="Calibri"/>
      <family val="2"/>
      <scheme val="minor"/>
    </font>
    <font>
      <b/>
      <sz val="11"/>
      <name val="Arial"/>
      <family val="1"/>
    </font>
    <font>
      <b/>
      <sz val="10"/>
      <name val="Arial"/>
      <family val="1"/>
    </font>
    <font>
      <b/>
      <sz val="10"/>
      <color rgb="FF000000"/>
      <name val="Arial"/>
      <family val="1"/>
    </font>
    <font>
      <sz val="10"/>
      <color rgb="FF000000"/>
      <name val="Arial"/>
      <family val="1"/>
    </font>
    <font>
      <sz val="10"/>
      <name val="Arial"/>
      <family val="1"/>
    </font>
    <font>
      <b/>
      <sz val="6"/>
      <color rgb="FFFFFFFF"/>
      <name val="Verdana"/>
      <family val="2"/>
    </font>
    <font>
      <sz val="10"/>
      <color theme="1"/>
      <name val="Arial"/>
      <family val="2"/>
    </font>
    <font>
      <b/>
      <sz val="10"/>
      <color theme="1"/>
      <name val="Arial"/>
      <family val="2"/>
    </font>
    <font>
      <b/>
      <sz val="12"/>
      <color theme="1"/>
      <name val="Arial"/>
      <family val="2"/>
    </font>
    <font>
      <b/>
      <sz val="12"/>
      <color theme="1"/>
      <name val="Arial"/>
      <family val="2"/>
    </font>
    <font>
      <b/>
      <sz val="8"/>
      <name val="Arial"/>
      <family val="2"/>
    </font>
    <font>
      <sz val="8"/>
      <name val="Arial"/>
      <family val="2"/>
    </font>
    <font>
      <sz val="9"/>
      <name val="Arial"/>
      <family val="2"/>
    </font>
    <font>
      <b/>
      <sz val="12"/>
      <name val="Arial"/>
      <family val="2"/>
    </font>
    <font>
      <b/>
      <sz val="10"/>
      <name val="Arial"/>
      <family val="2"/>
    </font>
    <font>
      <b/>
      <sz val="11"/>
      <name val="Arial"/>
      <family val="2"/>
    </font>
    <font>
      <sz val="11"/>
      <name val="Arial"/>
      <family val="2"/>
    </font>
    <font>
      <b/>
      <sz val="12"/>
      <color indexed="10"/>
      <name val="Arial"/>
      <family val="2"/>
    </font>
    <font>
      <sz val="10"/>
      <color indexed="10"/>
      <name val="Arial"/>
      <family val="2"/>
    </font>
    <font>
      <i/>
      <sz val="12"/>
      <name val="Calibri"/>
      <family val="2"/>
    </font>
    <font>
      <i/>
      <u/>
      <sz val="12"/>
      <name val="Calibri"/>
      <family val="2"/>
    </font>
    <font>
      <u/>
      <sz val="10"/>
      <name val="Arial"/>
      <family val="2"/>
    </font>
    <font>
      <b/>
      <sz val="12"/>
      <name val="Arial"/>
      <family val="1"/>
    </font>
    <font>
      <b/>
      <u/>
      <sz val="11"/>
      <name val="Arial"/>
      <family val="2"/>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43"/>
        <bgColor indexed="26"/>
      </patternFill>
    </fill>
    <fill>
      <patternFill patternType="solid">
        <fgColor indexed="22"/>
        <bgColor indexed="44"/>
      </patternFill>
    </fill>
    <fill>
      <patternFill patternType="solid">
        <fgColor rgb="FFFFFF99"/>
        <bgColor indexed="64"/>
      </patternFill>
    </fill>
    <fill>
      <patternFill patternType="solid">
        <fgColor indexed="9"/>
        <bgColor indexed="64"/>
      </patternFill>
    </fill>
    <fill>
      <patternFill patternType="mediumGray"/>
    </fill>
    <fill>
      <patternFill patternType="solid">
        <fgColor rgb="FF66FF66"/>
        <bgColor indexed="64"/>
      </patternFill>
    </fill>
    <fill>
      <patternFill patternType="solid">
        <fgColor indexed="31"/>
        <bgColor indexed="42"/>
      </patternFill>
    </fill>
    <fill>
      <patternFill patternType="solid">
        <fgColor rgb="FFFFFF00"/>
        <bgColor indexed="64"/>
      </patternFill>
    </fill>
    <fill>
      <patternFill patternType="solid">
        <fgColor rgb="FFFF0000"/>
        <bgColor indexed="64"/>
      </patternFill>
    </fill>
    <fill>
      <patternFill patternType="solid">
        <fgColor rgb="FFFFFFFF"/>
      </patternFill>
    </fill>
    <fill>
      <patternFill patternType="solid">
        <fgColor rgb="FFD8ECF6"/>
      </patternFill>
    </fill>
    <fill>
      <patternFill patternType="solid">
        <fgColor rgb="FFDFF0D8"/>
      </patternFill>
    </fill>
    <fill>
      <patternFill patternType="solid">
        <fgColor rgb="FFF7F3DF"/>
      </patternFill>
    </fill>
  </fills>
  <borders count="54">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bottom style="thin">
        <color indexed="8"/>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style="thin">
        <color rgb="FFCCCCCC"/>
      </right>
      <top style="thick">
        <color auto="1"/>
      </top>
      <bottom style="thin">
        <color rgb="FFCCCCCC"/>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CCCCCC"/>
      </left>
      <right style="thin">
        <color rgb="FFCCCCCC"/>
      </right>
      <top style="medium">
        <color indexed="64"/>
      </top>
      <bottom style="thin">
        <color rgb="FFCCCCCC"/>
      </bottom>
      <diagonal/>
    </border>
    <border>
      <left style="thin">
        <color rgb="FFCCCCCC"/>
      </left>
      <right style="thin">
        <color rgb="FFCCCCCC"/>
      </right>
      <top style="thin">
        <color rgb="FFCCCCCC"/>
      </top>
      <bottom style="medium">
        <color indexed="64"/>
      </bottom>
      <diagonal/>
    </border>
    <border>
      <left style="medium">
        <color auto="1"/>
      </left>
      <right style="thin">
        <color rgb="FFCCCCCC"/>
      </right>
      <top style="medium">
        <color auto="1"/>
      </top>
      <bottom style="thin">
        <color rgb="FFCCCCCC"/>
      </bottom>
      <diagonal/>
    </border>
    <border>
      <left style="thin">
        <color rgb="FFCCCCCC"/>
      </left>
      <right style="medium">
        <color auto="1"/>
      </right>
      <top style="medium">
        <color auto="1"/>
      </top>
      <bottom style="thin">
        <color rgb="FFCCCCCC"/>
      </bottom>
      <diagonal/>
    </border>
    <border>
      <left style="medium">
        <color auto="1"/>
      </left>
      <right style="thin">
        <color rgb="FFCCCCCC"/>
      </right>
      <top style="thin">
        <color rgb="FFCCCCCC"/>
      </top>
      <bottom style="thin">
        <color rgb="FFCCCCCC"/>
      </bottom>
      <diagonal/>
    </border>
    <border>
      <left style="thin">
        <color rgb="FFCCCCCC"/>
      </left>
      <right style="medium">
        <color auto="1"/>
      </right>
      <top style="thin">
        <color rgb="FFCCCCCC"/>
      </top>
      <bottom style="thin">
        <color rgb="FFCCCCCC"/>
      </bottom>
      <diagonal/>
    </border>
    <border>
      <left style="medium">
        <color auto="1"/>
      </left>
      <right style="thin">
        <color rgb="FFCCCCCC"/>
      </right>
      <top style="thin">
        <color rgb="FFCCCCCC"/>
      </top>
      <bottom style="medium">
        <color auto="1"/>
      </bottom>
      <diagonal/>
    </border>
    <border>
      <left style="thin">
        <color rgb="FFCCCCCC"/>
      </left>
      <right style="medium">
        <color auto="1"/>
      </right>
      <top style="thin">
        <color rgb="FFCCCCCC"/>
      </top>
      <bottom style="medium">
        <color auto="1"/>
      </bottom>
      <diagonal/>
    </border>
    <border>
      <left/>
      <right/>
      <top/>
      <bottom style="thick">
        <color rgb="FF0092F6"/>
      </bottom>
      <diagonal/>
    </border>
    <border>
      <left/>
      <right/>
      <top/>
      <bottom style="thick">
        <color rgb="FFFF5500"/>
      </bottom>
      <diagonal/>
    </border>
    <border>
      <left/>
      <right/>
      <top style="medium">
        <color auto="1"/>
      </top>
      <bottom style="thick">
        <color rgb="FF0092F6"/>
      </bottom>
      <diagonal/>
    </border>
    <border>
      <left/>
      <right style="medium">
        <color auto="1"/>
      </right>
      <top/>
      <bottom style="thick">
        <color rgb="FF0092F6"/>
      </bottom>
      <diagonal/>
    </border>
    <border>
      <left/>
      <right style="medium">
        <color auto="1"/>
      </right>
      <top/>
      <bottom style="thick">
        <color rgb="FFFF5500"/>
      </bottom>
      <diagonal/>
    </border>
    <border>
      <left/>
      <right/>
      <top style="thin">
        <color rgb="FFCCCCCC"/>
      </top>
      <bottom/>
      <diagonal/>
    </border>
  </borders>
  <cellStyleXfs count="21">
    <xf numFmtId="0" fontId="0" fillId="0" borderId="0"/>
    <xf numFmtId="43" fontId="1" fillId="0" borderId="0" applyFont="0" applyFill="0" applyBorder="0" applyAlignment="0" applyProtection="0"/>
    <xf numFmtId="0" fontId="2" fillId="0" borderId="0"/>
    <xf numFmtId="164" fontId="2" fillId="0" borderId="0" applyFont="0" applyFill="0" applyBorder="0" applyAlignment="0" applyProtection="0"/>
    <xf numFmtId="0" fontId="4" fillId="0" borderId="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0" borderId="0"/>
    <xf numFmtId="165" fontId="2" fillId="0" borderId="0" applyFill="0" applyBorder="0" applyAlignment="0" applyProtection="0"/>
    <xf numFmtId="0" fontId="33" fillId="0" borderId="0" applyNumberForma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421">
    <xf numFmtId="0" fontId="0" fillId="0" borderId="0" xfId="0"/>
    <xf numFmtId="0" fontId="8" fillId="0" borderId="0" xfId="0" applyFont="1" applyAlignment="1">
      <alignment horizontal="center" vertical="center" wrapText="1"/>
    </xf>
    <xf numFmtId="10" fontId="6" fillId="0" borderId="0" xfId="10" applyNumberFormat="1" applyFont="1" applyFill="1" applyBorder="1" applyAlignment="1">
      <alignment horizontal="left" vertical="center" wrapText="1"/>
    </xf>
    <xf numFmtId="0" fontId="6" fillId="0" borderId="0" xfId="0" applyFont="1" applyAlignment="1">
      <alignment vertical="center"/>
    </xf>
    <xf numFmtId="43" fontId="8" fillId="0" borderId="0" xfId="1" applyFont="1" applyFill="1" applyBorder="1" applyAlignment="1">
      <alignment horizontal="center" vertical="center" wrapText="1"/>
    </xf>
    <xf numFmtId="0" fontId="8" fillId="0" borderId="0" xfId="0" applyFont="1" applyAlignment="1">
      <alignment vertical="center"/>
    </xf>
    <xf numFmtId="0" fontId="6" fillId="0" borderId="0" xfId="2" applyFont="1" applyAlignment="1">
      <alignment vertical="center" wrapText="1"/>
    </xf>
    <xf numFmtId="0" fontId="6" fillId="0" borderId="0" xfId="2" applyFont="1" applyAlignment="1">
      <alignment horizontal="center"/>
    </xf>
    <xf numFmtId="0" fontId="6" fillId="0" borderId="0" xfId="2" applyFont="1" applyAlignment="1">
      <alignment horizontal="left" vertical="center" wrapText="1"/>
    </xf>
    <xf numFmtId="0" fontId="6" fillId="0" borderId="0" xfId="0" applyFont="1" applyAlignment="1">
      <alignment horizontal="center" vertical="center"/>
    </xf>
    <xf numFmtId="49" fontId="8" fillId="0" borderId="7" xfId="2" applyNumberFormat="1"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8" fillId="0" borderId="7" xfId="2" applyFont="1" applyBorder="1" applyAlignment="1">
      <alignment horizontal="center" vertical="center"/>
    </xf>
    <xf numFmtId="0" fontId="8" fillId="0" borderId="7" xfId="2" applyFont="1" applyBorder="1" applyAlignment="1">
      <alignment horizontal="center" vertical="center" wrapText="1"/>
    </xf>
    <xf numFmtId="43" fontId="8" fillId="0" borderId="8" xfId="1" applyFont="1" applyFill="1" applyBorder="1" applyAlignment="1">
      <alignment vertical="center"/>
    </xf>
    <xf numFmtId="43" fontId="6" fillId="0" borderId="8" xfId="1" applyFont="1" applyFill="1" applyBorder="1" applyAlignment="1">
      <alignment vertical="center"/>
    </xf>
    <xf numFmtId="0" fontId="8" fillId="0" borderId="0" xfId="0" applyFont="1" applyAlignment="1">
      <alignment horizontal="center" vertical="center"/>
    </xf>
    <xf numFmtId="0" fontId="8" fillId="0" borderId="0" xfId="0" applyFont="1" applyAlignment="1">
      <alignment horizontal="left" vertical="center" wrapText="1"/>
    </xf>
    <xf numFmtId="43" fontId="8" fillId="0" borderId="0" xfId="1" applyFont="1" applyAlignment="1">
      <alignment vertical="center"/>
    </xf>
    <xf numFmtId="1" fontId="15" fillId="0" borderId="0" xfId="0" applyNumberFormat="1" applyFont="1" applyAlignment="1">
      <alignment horizontal="center" vertical="center"/>
    </xf>
    <xf numFmtId="0" fontId="9" fillId="0" borderId="0" xfId="2" applyFont="1" applyAlignment="1">
      <alignment vertical="center" wrapText="1"/>
    </xf>
    <xf numFmtId="0" fontId="25" fillId="0" borderId="0" xfId="0" applyFont="1"/>
    <xf numFmtId="44" fontId="25" fillId="0" borderId="0" xfId="9" applyFont="1" applyBorder="1" applyAlignment="1">
      <alignment horizontal="center"/>
    </xf>
    <xf numFmtId="0" fontId="13" fillId="0" borderId="15" xfId="0" applyFont="1" applyBorder="1" applyAlignment="1">
      <alignment horizontal="center" vertical="center" wrapText="1"/>
    </xf>
    <xf numFmtId="3" fontId="13" fillId="0" borderId="15" xfId="0" applyNumberFormat="1" applyFont="1" applyBorder="1" applyAlignment="1">
      <alignment horizontal="center" vertical="center" wrapText="1"/>
    </xf>
    <xf numFmtId="0" fontId="13" fillId="0" borderId="15" xfId="0" applyFont="1" applyBorder="1" applyAlignment="1">
      <alignment horizontal="justify" vertical="center"/>
    </xf>
    <xf numFmtId="44" fontId="13" fillId="0" borderId="15" xfId="9" applyFont="1" applyBorder="1" applyAlignment="1">
      <alignment vertical="center"/>
    </xf>
    <xf numFmtId="44" fontId="13" fillId="8" borderId="15" xfId="9" applyFont="1" applyFill="1" applyBorder="1" applyAlignment="1">
      <alignment vertical="center"/>
    </xf>
    <xf numFmtId="44" fontId="25" fillId="0" borderId="0" xfId="0" applyNumberFormat="1" applyFont="1" applyAlignment="1">
      <alignment vertical="center"/>
    </xf>
    <xf numFmtId="0" fontId="25" fillId="0" borderId="0" xfId="0" applyFont="1" applyAlignment="1">
      <alignment vertical="center"/>
    </xf>
    <xf numFmtId="44" fontId="26" fillId="0" borderId="0" xfId="0" applyNumberFormat="1" applyFont="1"/>
    <xf numFmtId="0" fontId="26" fillId="0" borderId="0" xfId="0" applyFont="1"/>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vertical="center"/>
    </xf>
    <xf numFmtId="0" fontId="25" fillId="0" borderId="0" xfId="0" applyFont="1" applyAlignment="1">
      <alignment horizontal="center"/>
    </xf>
    <xf numFmtId="44" fontId="25" fillId="0" borderId="0" xfId="9" applyFont="1" applyAlignment="1">
      <alignment horizontal="center"/>
    </xf>
    <xf numFmtId="0" fontId="0" fillId="0" borderId="0" xfId="0" applyAlignment="1">
      <alignment horizontal="center" vertical="center"/>
    </xf>
    <xf numFmtId="0" fontId="13" fillId="0" borderId="21" xfId="0" applyFont="1" applyBorder="1" applyAlignment="1">
      <alignment horizontal="center" vertical="center" wrapText="1"/>
    </xf>
    <xf numFmtId="3" fontId="13" fillId="0" borderId="21" xfId="0" applyNumberFormat="1" applyFont="1" applyBorder="1" applyAlignment="1">
      <alignment horizontal="center" vertical="center" wrapText="1"/>
    </xf>
    <xf numFmtId="0" fontId="13" fillId="0" borderId="21" xfId="0" applyFont="1" applyBorder="1" applyAlignment="1">
      <alignment horizontal="justify" vertical="center"/>
    </xf>
    <xf numFmtId="4" fontId="13" fillId="0" borderId="21" xfId="0" applyNumberFormat="1" applyFont="1" applyBorder="1" applyAlignment="1">
      <alignment vertical="center"/>
    </xf>
    <xf numFmtId="4" fontId="13" fillId="8" borderId="21" xfId="9" applyNumberFormat="1" applyFont="1" applyFill="1" applyBorder="1" applyAlignment="1">
      <alignment vertical="center"/>
    </xf>
    <xf numFmtId="44" fontId="13" fillId="8" borderId="21" xfId="9" applyFont="1" applyFill="1" applyBorder="1" applyAlignment="1">
      <alignment vertical="center"/>
    </xf>
    <xf numFmtId="0" fontId="22" fillId="0" borderId="22" xfId="0" applyFont="1" applyBorder="1" applyAlignment="1">
      <alignment horizontal="center" vertical="center"/>
    </xf>
    <xf numFmtId="0" fontId="22" fillId="0" borderId="22" xfId="0" applyFont="1" applyBorder="1" applyAlignment="1">
      <alignment vertical="center"/>
    </xf>
    <xf numFmtId="44" fontId="22" fillId="0" borderId="22" xfId="9" applyFont="1" applyBorder="1" applyAlignment="1">
      <alignment horizontal="center" vertical="center"/>
    </xf>
    <xf numFmtId="44" fontId="22" fillId="9" borderId="22" xfId="9" applyFont="1" applyFill="1" applyBorder="1" applyAlignment="1">
      <alignment horizontal="center" vertical="center"/>
    </xf>
    <xf numFmtId="0" fontId="0" fillId="0" borderId="0" xfId="0" applyAlignment="1">
      <alignment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vertical="center"/>
    </xf>
    <xf numFmtId="43" fontId="8" fillId="0" borderId="10" xfId="1" applyFont="1" applyBorder="1" applyAlignment="1">
      <alignment vertical="center"/>
    </xf>
    <xf numFmtId="43" fontId="8" fillId="0" borderId="11" xfId="1" applyFont="1" applyBorder="1" applyAlignment="1">
      <alignment vertical="center"/>
    </xf>
    <xf numFmtId="0" fontId="22" fillId="3" borderId="17" xfId="0" applyFont="1" applyFill="1" applyBorder="1" applyAlignment="1">
      <alignment horizontal="center" vertical="center"/>
    </xf>
    <xf numFmtId="44" fontId="22" fillId="3" borderId="17" xfId="9" applyFont="1" applyFill="1" applyBorder="1" applyAlignment="1">
      <alignment horizontal="center" vertical="center" wrapText="1"/>
    </xf>
    <xf numFmtId="0" fontId="13" fillId="0" borderId="0" xfId="0" applyFont="1" applyAlignment="1">
      <alignment vertical="center"/>
    </xf>
    <xf numFmtId="0" fontId="13" fillId="0" borderId="0" xfId="0" applyFont="1" applyAlignment="1">
      <alignment horizontal="center" vertical="center"/>
    </xf>
    <xf numFmtId="0" fontId="0" fillId="0" borderId="0" xfId="2" applyFont="1"/>
    <xf numFmtId="0" fontId="3" fillId="0" borderId="0" xfId="2" applyFont="1" applyAlignment="1">
      <alignment horizontal="center"/>
    </xf>
    <xf numFmtId="0" fontId="11" fillId="0" borderId="0" xfId="2" applyFont="1" applyAlignment="1">
      <alignment horizontal="center"/>
    </xf>
    <xf numFmtId="0" fontId="3" fillId="0" borderId="0" xfId="2" applyFont="1"/>
    <xf numFmtId="0" fontId="30" fillId="0" borderId="0" xfId="2" applyFont="1" applyAlignment="1">
      <alignment horizontal="right" vertical="center"/>
    </xf>
    <xf numFmtId="0" fontId="0" fillId="0" borderId="0" xfId="2" applyFont="1" applyAlignment="1">
      <alignment horizontal="center" vertical="top"/>
    </xf>
    <xf numFmtId="0" fontId="19" fillId="0" borderId="0" xfId="2" applyFont="1" applyAlignment="1">
      <alignment horizontal="center" vertical="top"/>
    </xf>
    <xf numFmtId="168" fontId="0" fillId="0" borderId="0" xfId="2" applyNumberFormat="1" applyFont="1"/>
    <xf numFmtId="0" fontId="17" fillId="0" borderId="0" xfId="2" applyFont="1"/>
    <xf numFmtId="0" fontId="3" fillId="0" borderId="0" xfId="11" applyFont="1" applyAlignment="1">
      <alignment horizontal="left" vertical="top"/>
    </xf>
    <xf numFmtId="0" fontId="0" fillId="0" borderId="0" xfId="2" applyFont="1" applyAlignment="1">
      <alignment vertical="top"/>
    </xf>
    <xf numFmtId="166" fontId="0" fillId="0" borderId="0" xfId="2" applyNumberFormat="1" applyFont="1"/>
    <xf numFmtId="166" fontId="0" fillId="0" borderId="0" xfId="2" applyNumberFormat="1" applyFont="1" applyAlignment="1">
      <alignment vertical="top"/>
    </xf>
    <xf numFmtId="0" fontId="31" fillId="0" borderId="0" xfId="0" applyFont="1" applyAlignment="1">
      <alignment horizontal="right" vertical="center"/>
    </xf>
    <xf numFmtId="0" fontId="31" fillId="0" borderId="0" xfId="0" applyFont="1" applyAlignment="1">
      <alignment horizontal="center" vertical="top"/>
    </xf>
    <xf numFmtId="0" fontId="31" fillId="0" borderId="0" xfId="0" applyFont="1" applyAlignment="1">
      <alignment horizontal="left" vertical="center"/>
    </xf>
    <xf numFmtId="43" fontId="6" fillId="2" borderId="8" xfId="1" applyFont="1" applyFill="1" applyBorder="1" applyAlignment="1">
      <alignment vertical="center"/>
    </xf>
    <xf numFmtId="0" fontId="6" fillId="0" borderId="7" xfId="2" applyFont="1" applyBorder="1" applyAlignment="1">
      <alignment horizontal="center" vertical="center"/>
    </xf>
    <xf numFmtId="0" fontId="6" fillId="3" borderId="2" xfId="0" quotePrefix="1" applyFont="1" applyFill="1" applyBorder="1" applyAlignment="1">
      <alignment horizontal="center" vertical="center"/>
    </xf>
    <xf numFmtId="2" fontId="6" fillId="3" borderId="2" xfId="0" applyNumberFormat="1" applyFont="1" applyFill="1" applyBorder="1" applyAlignment="1">
      <alignment horizontal="center" vertical="center" wrapText="1"/>
    </xf>
    <xf numFmtId="4" fontId="6" fillId="3" borderId="2" xfId="0" applyNumberFormat="1" applyFont="1" applyFill="1" applyBorder="1" applyAlignment="1">
      <alignment horizontal="center" vertical="center" wrapText="1"/>
    </xf>
    <xf numFmtId="0" fontId="13" fillId="0" borderId="0" xfId="2" applyFont="1" applyAlignment="1">
      <alignment horizontal="left"/>
    </xf>
    <xf numFmtId="0" fontId="8" fillId="2" borderId="7" xfId="2" applyFont="1" applyFill="1" applyBorder="1" applyAlignment="1">
      <alignment horizontal="center" vertical="center"/>
    </xf>
    <xf numFmtId="0" fontId="3" fillId="0" borderId="26" xfId="2" applyFont="1" applyBorder="1" applyAlignment="1">
      <alignment horizontal="center"/>
    </xf>
    <xf numFmtId="10" fontId="12" fillId="0" borderId="26" xfId="2" applyNumberFormat="1" applyFont="1" applyBorder="1" applyAlignment="1">
      <alignment horizontal="center"/>
    </xf>
    <xf numFmtId="0" fontId="3" fillId="0" borderId="26" xfId="2" applyFont="1" applyBorder="1" applyAlignment="1">
      <alignment horizontal="center" vertical="center" wrapText="1"/>
    </xf>
    <xf numFmtId="0" fontId="17" fillId="0" borderId="26" xfId="2" applyFont="1" applyBorder="1" applyAlignment="1">
      <alignment horizontal="center" vertical="center"/>
    </xf>
    <xf numFmtId="10" fontId="17" fillId="5" borderId="26" xfId="2" applyNumberFormat="1" applyFont="1" applyFill="1" applyBorder="1" applyAlignment="1" applyProtection="1">
      <alignment horizontal="center" vertical="center"/>
      <protection locked="0"/>
    </xf>
    <xf numFmtId="10" fontId="17" fillId="0" borderId="26" xfId="2" applyNumberFormat="1" applyFont="1" applyBorder="1" applyAlignment="1">
      <alignment horizontal="center" vertical="center"/>
    </xf>
    <xf numFmtId="10" fontId="17" fillId="0" borderId="26" xfId="2" applyNumberFormat="1" applyFont="1" applyBorder="1" applyAlignment="1">
      <alignment horizontal="center" vertical="center" wrapText="1"/>
    </xf>
    <xf numFmtId="0" fontId="17" fillId="0" borderId="26" xfId="2" applyFont="1" applyBorder="1" applyAlignment="1">
      <alignment horizontal="center" vertical="center" wrapText="1"/>
    </xf>
    <xf numFmtId="0" fontId="17" fillId="6" borderId="26" xfId="2" applyFont="1" applyFill="1" applyBorder="1" applyAlignment="1">
      <alignment horizontal="center" vertical="center" wrapText="1"/>
    </xf>
    <xf numFmtId="10" fontId="16" fillId="6" borderId="26" xfId="2" applyNumberFormat="1" applyFont="1" applyFill="1" applyBorder="1" applyAlignment="1">
      <alignment horizontal="center" vertical="center"/>
    </xf>
    <xf numFmtId="0" fontId="3" fillId="0" borderId="27" xfId="2" applyFont="1" applyBorder="1" applyAlignment="1">
      <alignment horizontal="left"/>
    </xf>
    <xf numFmtId="0" fontId="0" fillId="0" borderId="27" xfId="2" applyFont="1" applyBorder="1"/>
    <xf numFmtId="0" fontId="9" fillId="0" borderId="0" xfId="2" applyFont="1" applyAlignment="1">
      <alignment vertical="center"/>
    </xf>
    <xf numFmtId="0" fontId="34"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vertical="center"/>
    </xf>
    <xf numFmtId="44" fontId="22" fillId="0" borderId="0" xfId="9" applyFont="1" applyBorder="1" applyAlignment="1">
      <alignment horizontal="center" vertical="center"/>
    </xf>
    <xf numFmtId="49" fontId="6" fillId="7" borderId="2" xfId="2" applyNumberFormat="1" applyFont="1" applyFill="1" applyBorder="1" applyAlignment="1">
      <alignment horizontal="center" vertical="center"/>
    </xf>
    <xf numFmtId="49" fontId="6" fillId="7" borderId="2" xfId="2" applyNumberFormat="1" applyFont="1" applyFill="1" applyBorder="1" applyAlignment="1">
      <alignment horizontal="left" vertical="center" wrapText="1"/>
    </xf>
    <xf numFmtId="0" fontId="10" fillId="7" borderId="2" xfId="0" applyFont="1" applyFill="1" applyBorder="1" applyAlignment="1">
      <alignment horizontal="center" vertical="center"/>
    </xf>
    <xf numFmtId="49" fontId="6" fillId="4" borderId="4" xfId="2" applyNumberFormat="1" applyFont="1" applyFill="1" applyBorder="1" applyAlignment="1">
      <alignment horizontal="center" vertical="center"/>
    </xf>
    <xf numFmtId="49" fontId="6" fillId="4" borderId="5" xfId="2" applyNumberFormat="1" applyFont="1" applyFill="1" applyBorder="1" applyAlignment="1">
      <alignment horizontal="center" vertical="center"/>
    </xf>
    <xf numFmtId="43" fontId="8" fillId="4" borderId="8" xfId="1" applyFont="1" applyFill="1" applyBorder="1" applyAlignment="1">
      <alignment vertical="center"/>
    </xf>
    <xf numFmtId="0" fontId="6" fillId="4" borderId="7" xfId="2" applyFont="1" applyFill="1" applyBorder="1" applyAlignment="1">
      <alignment horizontal="center" vertical="center"/>
    </xf>
    <xf numFmtId="0" fontId="6" fillId="4" borderId="7" xfId="2" applyFont="1" applyFill="1" applyBorder="1" applyAlignment="1">
      <alignment horizontal="center" vertical="center" wrapText="1"/>
    </xf>
    <xf numFmtId="43" fontId="6" fillId="4" borderId="8" xfId="1" applyFont="1" applyFill="1" applyBorder="1" applyAlignment="1">
      <alignment vertical="center"/>
    </xf>
    <xf numFmtId="43" fontId="6" fillId="4" borderId="8" xfId="1" applyFont="1" applyFill="1" applyBorder="1" applyAlignment="1">
      <alignment horizontal="center" vertical="center" wrapText="1"/>
    </xf>
    <xf numFmtId="17" fontId="8" fillId="0" borderId="0" xfId="0" applyNumberFormat="1" applyFont="1" applyAlignment="1">
      <alignment vertical="center"/>
    </xf>
    <xf numFmtId="0" fontId="23" fillId="0" borderId="0" xfId="0" applyFont="1" applyAlignment="1">
      <alignment horizontal="left" vertical="center"/>
    </xf>
    <xf numFmtId="0" fontId="16" fillId="7" borderId="26" xfId="2" applyFont="1" applyFill="1" applyBorder="1" applyAlignment="1">
      <alignment horizontal="center" vertical="center" wrapText="1"/>
    </xf>
    <xf numFmtId="44" fontId="22" fillId="7" borderId="17" xfId="9" applyFont="1" applyFill="1" applyBorder="1" applyAlignment="1">
      <alignment horizontal="center" vertical="center"/>
    </xf>
    <xf numFmtId="44" fontId="22" fillId="0" borderId="0" xfId="9" applyFont="1" applyFill="1" applyBorder="1" applyAlignment="1">
      <alignment horizontal="center" vertical="center"/>
    </xf>
    <xf numFmtId="0" fontId="33" fillId="0" borderId="0" xfId="13" applyAlignment="1">
      <alignment vertical="center" wrapText="1"/>
    </xf>
    <xf numFmtId="0" fontId="38" fillId="14" borderId="0" xfId="0" applyFont="1" applyFill="1" applyAlignment="1">
      <alignment horizontal="center" vertical="center" wrapText="1"/>
    </xf>
    <xf numFmtId="0" fontId="22" fillId="0" borderId="0" xfId="0" applyFont="1" applyAlignment="1">
      <alignment horizontal="left" vertical="center"/>
    </xf>
    <xf numFmtId="43" fontId="13" fillId="0" borderId="0" xfId="1" applyFont="1" applyFill="1" applyBorder="1" applyAlignment="1">
      <alignment horizontal="center" vertical="center" wrapText="1"/>
    </xf>
    <xf numFmtId="0" fontId="13" fillId="0" borderId="0" xfId="0" applyFont="1" applyAlignment="1">
      <alignment horizontal="center" vertical="center" wrapText="1"/>
    </xf>
    <xf numFmtId="43" fontId="6" fillId="0" borderId="8" xfId="1" applyFont="1" applyFill="1" applyBorder="1" applyAlignment="1">
      <alignment horizontal="center" vertical="center" wrapText="1"/>
    </xf>
    <xf numFmtId="0" fontId="6" fillId="2" borderId="7" xfId="2" applyFont="1" applyFill="1" applyBorder="1" applyAlignment="1">
      <alignment horizontal="center" vertical="center"/>
    </xf>
    <xf numFmtId="43" fontId="8" fillId="2" borderId="30" xfId="1" applyFont="1" applyFill="1" applyBorder="1" applyAlignment="1">
      <alignment vertical="center"/>
    </xf>
    <xf numFmtId="43" fontId="8" fillId="2" borderId="8" xfId="1" applyFont="1" applyFill="1" applyBorder="1" applyAlignment="1">
      <alignment vertical="center"/>
    </xf>
    <xf numFmtId="0" fontId="8" fillId="2" borderId="0" xfId="0" applyFont="1" applyFill="1" applyAlignment="1">
      <alignment vertical="center"/>
    </xf>
    <xf numFmtId="0" fontId="8" fillId="2" borderId="7" xfId="2" applyFont="1" applyFill="1" applyBorder="1" applyAlignment="1">
      <alignment horizontal="center" vertical="center" wrapText="1"/>
    </xf>
    <xf numFmtId="0" fontId="13" fillId="0" borderId="32" xfId="0" applyFont="1" applyBorder="1" applyAlignment="1">
      <alignment horizontal="center" vertical="center" wrapText="1"/>
    </xf>
    <xf numFmtId="3" fontId="13" fillId="0" borderId="32" xfId="0" applyNumberFormat="1" applyFont="1" applyBorder="1" applyAlignment="1">
      <alignment horizontal="center" vertical="center" wrapText="1"/>
    </xf>
    <xf numFmtId="0" fontId="13" fillId="0" borderId="32" xfId="0" applyFont="1" applyBorder="1" applyAlignment="1">
      <alignment horizontal="justify" vertical="center"/>
    </xf>
    <xf numFmtId="4" fontId="13" fillId="0" borderId="32" xfId="0" applyNumberFormat="1" applyFont="1" applyBorder="1" applyAlignment="1">
      <alignment vertical="center"/>
    </xf>
    <xf numFmtId="4" fontId="13" fillId="8" borderId="32" xfId="9" applyNumberFormat="1" applyFont="1" applyFill="1" applyBorder="1" applyAlignment="1">
      <alignment vertical="center"/>
    </xf>
    <xf numFmtId="44" fontId="13" fillId="8" borderId="32" xfId="9" applyFont="1" applyFill="1" applyBorder="1" applyAlignment="1">
      <alignment vertical="center"/>
    </xf>
    <xf numFmtId="0" fontId="22" fillId="0" borderId="31" xfId="0" applyFont="1" applyBorder="1" applyAlignment="1">
      <alignment horizontal="center" vertical="center"/>
    </xf>
    <xf numFmtId="0" fontId="22" fillId="0" borderId="31" xfId="0" applyFont="1" applyBorder="1" applyAlignment="1">
      <alignment vertical="center"/>
    </xf>
    <xf numFmtId="44" fontId="22" fillId="0" borderId="31" xfId="9" applyFont="1" applyBorder="1" applyAlignment="1">
      <alignment horizontal="center" vertical="center"/>
    </xf>
    <xf numFmtId="44" fontId="22" fillId="9" borderId="31" xfId="9" applyFont="1" applyFill="1" applyBorder="1" applyAlignment="1">
      <alignment horizontal="center" vertical="center"/>
    </xf>
    <xf numFmtId="0" fontId="26" fillId="0" borderId="0" xfId="0" applyFont="1" applyAlignment="1">
      <alignment horizontal="center" vertical="center"/>
    </xf>
    <xf numFmtId="0" fontId="33" fillId="0" borderId="0" xfId="13" applyFill="1" applyAlignment="1">
      <alignment horizontal="left" vertical="center" wrapText="1"/>
    </xf>
    <xf numFmtId="0" fontId="27" fillId="7" borderId="32" xfId="0" applyFont="1" applyFill="1" applyBorder="1" applyAlignment="1">
      <alignment horizontal="center"/>
    </xf>
    <xf numFmtId="0" fontId="35" fillId="7" borderId="32" xfId="0" applyFont="1" applyFill="1" applyBorder="1"/>
    <xf numFmtId="44" fontId="27" fillId="7" borderId="32" xfId="9" applyFont="1" applyFill="1" applyBorder="1" applyAlignment="1">
      <alignment horizontal="center"/>
    </xf>
    <xf numFmtId="10" fontId="16" fillId="10" borderId="26" xfId="2" applyNumberFormat="1" applyFont="1" applyFill="1" applyBorder="1" applyAlignment="1">
      <alignment horizontal="center" vertical="center"/>
    </xf>
    <xf numFmtId="43" fontId="8" fillId="0" borderId="32" xfId="1" applyFont="1" applyFill="1" applyBorder="1" applyAlignment="1">
      <alignment vertical="center"/>
    </xf>
    <xf numFmtId="0" fontId="8" fillId="0" borderId="32" xfId="2" applyFont="1" applyBorder="1" applyAlignment="1">
      <alignment horizontal="center" vertical="center"/>
    </xf>
    <xf numFmtId="0" fontId="8" fillId="0" borderId="32" xfId="2" applyFont="1" applyBorder="1" applyAlignment="1">
      <alignment vertical="center" wrapText="1"/>
    </xf>
    <xf numFmtId="0" fontId="8" fillId="0" borderId="32" xfId="0" applyFont="1" applyBorder="1" applyAlignment="1">
      <alignment vertical="center"/>
    </xf>
    <xf numFmtId="0" fontId="24" fillId="0" borderId="32" xfId="2" applyFont="1" applyBorder="1" applyAlignment="1">
      <alignment horizontal="right" vertical="center" wrapText="1"/>
    </xf>
    <xf numFmtId="43" fontId="24" fillId="0" borderId="32" xfId="2" applyNumberFormat="1" applyFont="1" applyBorder="1" applyAlignment="1">
      <alignment horizontal="center" vertical="center"/>
    </xf>
    <xf numFmtId="43" fontId="6" fillId="0" borderId="32" xfId="1" applyFont="1" applyFill="1" applyBorder="1" applyAlignment="1">
      <alignment vertical="center"/>
    </xf>
    <xf numFmtId="0" fontId="6" fillId="0" borderId="32" xfId="2" applyFont="1" applyBorder="1" applyAlignment="1">
      <alignment horizontal="right" vertical="center" wrapText="1"/>
    </xf>
    <xf numFmtId="43" fontId="6" fillId="0" borderId="32" xfId="2" applyNumberFormat="1" applyFont="1" applyBorder="1" applyAlignment="1">
      <alignment horizontal="center" vertical="center"/>
    </xf>
    <xf numFmtId="0" fontId="8" fillId="0" borderId="32" xfId="2" applyFont="1" applyBorder="1" applyAlignment="1">
      <alignment horizontal="center" vertical="center" wrapText="1"/>
    </xf>
    <xf numFmtId="0" fontId="8" fillId="0" borderId="32" xfId="2" applyFont="1" applyBorder="1" applyAlignment="1">
      <alignment horizontal="left" vertical="center" wrapText="1"/>
    </xf>
    <xf numFmtId="49" fontId="8" fillId="0" borderId="32" xfId="2" applyNumberFormat="1" applyFont="1" applyBorder="1" applyAlignment="1">
      <alignment horizontal="center" vertical="center"/>
    </xf>
    <xf numFmtId="0" fontId="8" fillId="0" borderId="32" xfId="0" applyFont="1" applyBorder="1" applyAlignment="1">
      <alignment horizontal="left" vertical="center" wrapText="1"/>
    </xf>
    <xf numFmtId="43" fontId="8" fillId="0" borderId="32" xfId="1" applyFont="1" applyFill="1" applyBorder="1" applyAlignment="1">
      <alignment horizontal="center" vertical="center"/>
    </xf>
    <xf numFmtId="49" fontId="8" fillId="0" borderId="32" xfId="2" applyNumberFormat="1" applyFont="1" applyBorder="1" applyAlignment="1">
      <alignment horizontal="center" vertical="center" wrapText="1"/>
    </xf>
    <xf numFmtId="49" fontId="8" fillId="0" borderId="10" xfId="0" applyNumberFormat="1" applyFont="1" applyBorder="1" applyAlignment="1">
      <alignment horizontal="center" vertical="center"/>
    </xf>
    <xf numFmtId="49" fontId="8" fillId="2" borderId="32" xfId="2" applyNumberFormat="1" applyFont="1" applyFill="1" applyBorder="1" applyAlignment="1">
      <alignment horizontal="left" vertical="center" wrapText="1"/>
    </xf>
    <xf numFmtId="49" fontId="6" fillId="2" borderId="32" xfId="2" applyNumberFormat="1" applyFont="1" applyFill="1" applyBorder="1" applyAlignment="1">
      <alignment horizontal="center"/>
    </xf>
    <xf numFmtId="0" fontId="6" fillId="2" borderId="32" xfId="2" applyFont="1" applyFill="1" applyBorder="1" applyAlignment="1">
      <alignment horizontal="center"/>
    </xf>
    <xf numFmtId="0" fontId="8" fillId="2" borderId="32" xfId="2" applyFont="1" applyFill="1" applyBorder="1" applyAlignment="1">
      <alignment vertical="center" wrapText="1"/>
    </xf>
    <xf numFmtId="0" fontId="6" fillId="2" borderId="32" xfId="2" applyFont="1" applyFill="1" applyBorder="1" applyAlignment="1">
      <alignment vertical="center"/>
    </xf>
    <xf numFmtId="43" fontId="8" fillId="2" borderId="32" xfId="1" applyFont="1" applyFill="1" applyBorder="1" applyAlignment="1">
      <alignment vertical="center"/>
    </xf>
    <xf numFmtId="43" fontId="8" fillId="2" borderId="0" xfId="1" applyFont="1" applyFill="1" applyBorder="1" applyAlignment="1">
      <alignment vertical="center"/>
    </xf>
    <xf numFmtId="49" fontId="6" fillId="0" borderId="32" xfId="2" applyNumberFormat="1" applyFont="1" applyBorder="1" applyAlignment="1">
      <alignment horizontal="center"/>
    </xf>
    <xf numFmtId="0" fontId="6" fillId="0" borderId="32" xfId="2" applyFont="1" applyBorder="1" applyAlignment="1">
      <alignment horizontal="center"/>
    </xf>
    <xf numFmtId="0" fontId="6" fillId="2" borderId="32" xfId="2" applyFont="1" applyFill="1" applyBorder="1" applyAlignment="1">
      <alignment horizontal="center" vertical="center"/>
    </xf>
    <xf numFmtId="0" fontId="8" fillId="2" borderId="32" xfId="2" applyFont="1" applyFill="1" applyBorder="1" applyAlignment="1">
      <alignment horizontal="center" vertical="center"/>
    </xf>
    <xf numFmtId="2" fontId="8" fillId="0" borderId="7" xfId="2" applyNumberFormat="1" applyFont="1" applyBorder="1" applyAlignment="1">
      <alignment horizontal="center" vertical="center"/>
    </xf>
    <xf numFmtId="171" fontId="8" fillId="0" borderId="32" xfId="1" applyNumberFormat="1" applyFont="1" applyFill="1" applyBorder="1" applyAlignment="1">
      <alignment vertical="center"/>
    </xf>
    <xf numFmtId="0" fontId="6" fillId="0" borderId="32" xfId="2" applyFont="1" applyBorder="1" applyAlignment="1">
      <alignment vertical="center" wrapText="1"/>
    </xf>
    <xf numFmtId="49" fontId="6" fillId="4" borderId="32" xfId="2" applyNumberFormat="1" applyFont="1" applyFill="1" applyBorder="1" applyAlignment="1">
      <alignment horizontal="center" vertical="center" wrapText="1"/>
    </xf>
    <xf numFmtId="0" fontId="6" fillId="4" borderId="32" xfId="2" applyFont="1" applyFill="1" applyBorder="1" applyAlignment="1">
      <alignment horizontal="center" vertical="center" wrapText="1"/>
    </xf>
    <xf numFmtId="0" fontId="6" fillId="4" borderId="32" xfId="0" applyFont="1" applyFill="1" applyBorder="1" applyAlignment="1">
      <alignment horizontal="left" vertical="center" wrapText="1"/>
    </xf>
    <xf numFmtId="0" fontId="6" fillId="4" borderId="32" xfId="0" applyFont="1" applyFill="1" applyBorder="1" applyAlignment="1">
      <alignment horizontal="center" vertical="center"/>
    </xf>
    <xf numFmtId="43" fontId="6" fillId="4" borderId="32" xfId="1" applyFont="1" applyFill="1" applyBorder="1" applyAlignment="1">
      <alignment vertical="center"/>
    </xf>
    <xf numFmtId="43" fontId="8" fillId="4" borderId="32" xfId="1" applyFont="1" applyFill="1" applyBorder="1" applyAlignment="1">
      <alignment vertical="center"/>
    </xf>
    <xf numFmtId="0" fontId="8" fillId="0" borderId="32" xfId="0" applyFont="1" applyBorder="1" applyAlignment="1">
      <alignment horizontal="center" vertical="center"/>
    </xf>
    <xf numFmtId="0" fontId="8" fillId="2" borderId="32" xfId="2" applyFont="1" applyFill="1" applyBorder="1" applyAlignment="1">
      <alignment horizontal="left" vertical="center" wrapText="1"/>
    </xf>
    <xf numFmtId="0" fontId="42" fillId="0" borderId="0" xfId="0" applyFont="1" applyAlignment="1">
      <alignment horizontal="center" vertical="center" wrapText="1"/>
    </xf>
    <xf numFmtId="49" fontId="6" fillId="4" borderId="32" xfId="0" applyNumberFormat="1" applyFont="1" applyFill="1" applyBorder="1" applyAlignment="1">
      <alignment horizontal="center" vertical="center" wrapText="1"/>
    </xf>
    <xf numFmtId="0" fontId="6" fillId="4" borderId="32" xfId="2" applyFont="1" applyFill="1" applyBorder="1" applyAlignment="1">
      <alignment horizontal="left" vertical="center" wrapText="1"/>
    </xf>
    <xf numFmtId="0" fontId="6" fillId="4" borderId="32" xfId="2" applyFont="1" applyFill="1" applyBorder="1" applyAlignment="1">
      <alignment horizontal="center" vertical="center"/>
    </xf>
    <xf numFmtId="49" fontId="8" fillId="0" borderId="32" xfId="0" applyNumberFormat="1" applyFont="1" applyBorder="1" applyAlignment="1">
      <alignment horizontal="center" vertical="center" wrapText="1"/>
    </xf>
    <xf numFmtId="49" fontId="8" fillId="0" borderId="32" xfId="0" applyNumberFormat="1" applyFont="1" applyBorder="1" applyAlignment="1">
      <alignment horizontal="center" vertical="center"/>
    </xf>
    <xf numFmtId="0" fontId="8" fillId="2" borderId="32" xfId="0" applyFont="1" applyFill="1" applyBorder="1" applyAlignment="1">
      <alignment horizontal="left" vertical="center" wrapText="1"/>
    </xf>
    <xf numFmtId="43" fontId="8" fillId="0" borderId="8" xfId="1" applyFont="1" applyFill="1" applyBorder="1" applyAlignment="1">
      <alignment horizontal="center" vertical="center" wrapText="1"/>
    </xf>
    <xf numFmtId="0" fontId="6" fillId="4" borderId="5" xfId="2" applyFont="1" applyFill="1" applyBorder="1" applyAlignment="1">
      <alignment vertical="center" wrapText="1"/>
    </xf>
    <xf numFmtId="43" fontId="8" fillId="4" borderId="5" xfId="1" applyFont="1" applyFill="1" applyBorder="1" applyAlignment="1">
      <alignment vertical="center"/>
    </xf>
    <xf numFmtId="43" fontId="8" fillId="4" borderId="6" xfId="1" applyFont="1" applyFill="1" applyBorder="1" applyAlignment="1">
      <alignment vertical="center"/>
    </xf>
    <xf numFmtId="43" fontId="8" fillId="0" borderId="32" xfId="1" applyFont="1" applyBorder="1" applyAlignment="1">
      <alignment vertical="center"/>
    </xf>
    <xf numFmtId="49" fontId="8" fillId="13" borderId="32" xfId="2" applyNumberFormat="1" applyFont="1" applyFill="1" applyBorder="1" applyAlignment="1">
      <alignment horizontal="center" vertical="center"/>
    </xf>
    <xf numFmtId="49" fontId="8" fillId="12" borderId="32" xfId="2" applyNumberFormat="1" applyFont="1" applyFill="1" applyBorder="1" applyAlignment="1">
      <alignment horizontal="left" vertical="center" wrapText="1"/>
    </xf>
    <xf numFmtId="49" fontId="8" fillId="0" borderId="32" xfId="2" applyNumberFormat="1" applyFont="1" applyBorder="1" applyAlignment="1">
      <alignment horizontal="center"/>
    </xf>
    <xf numFmtId="0" fontId="8" fillId="0" borderId="32" xfId="2" applyFont="1" applyBorder="1" applyAlignment="1">
      <alignment horizontal="center"/>
    </xf>
    <xf numFmtId="0" fontId="7" fillId="2" borderId="32" xfId="0" applyFont="1" applyFill="1" applyBorder="1" applyAlignment="1">
      <alignment vertical="center"/>
    </xf>
    <xf numFmtId="49" fontId="8" fillId="2" borderId="32" xfId="2" applyNumberFormat="1" applyFont="1" applyFill="1" applyBorder="1" applyAlignment="1">
      <alignment horizontal="center" vertical="center"/>
    </xf>
    <xf numFmtId="49" fontId="8" fillId="0" borderId="32" xfId="2" applyNumberFormat="1" applyFont="1" applyBorder="1" applyAlignment="1">
      <alignment horizontal="left" vertical="center" wrapText="1"/>
    </xf>
    <xf numFmtId="49" fontId="6" fillId="4" borderId="32" xfId="2" applyNumberFormat="1" applyFont="1" applyFill="1" applyBorder="1" applyAlignment="1">
      <alignment horizontal="center"/>
    </xf>
    <xf numFmtId="0" fontId="6" fillId="4" borderId="32" xfId="2" applyFont="1" applyFill="1" applyBorder="1" applyAlignment="1">
      <alignment horizontal="center"/>
    </xf>
    <xf numFmtId="0" fontId="6" fillId="4" borderId="32" xfId="2" applyFont="1" applyFill="1" applyBorder="1" applyAlignment="1">
      <alignment vertical="center" wrapText="1"/>
    </xf>
    <xf numFmtId="0" fontId="6" fillId="4" borderId="32" xfId="2" applyFont="1" applyFill="1" applyBorder="1" applyAlignment="1">
      <alignment vertical="center"/>
    </xf>
    <xf numFmtId="49" fontId="8" fillId="2" borderId="32" xfId="2" applyNumberFormat="1" applyFont="1" applyFill="1" applyBorder="1" applyAlignment="1">
      <alignment horizontal="center" vertical="center" wrapText="1"/>
    </xf>
    <xf numFmtId="0" fontId="8" fillId="2" borderId="32" xfId="2" applyFont="1" applyFill="1" applyBorder="1" applyAlignment="1">
      <alignment horizontal="center" vertical="center" wrapText="1"/>
    </xf>
    <xf numFmtId="0" fontId="7" fillId="2" borderId="32" xfId="0" applyFont="1" applyFill="1" applyBorder="1" applyAlignment="1">
      <alignment horizontal="left" vertical="center" wrapText="1"/>
    </xf>
    <xf numFmtId="0" fontId="8" fillId="2" borderId="32" xfId="0" applyFont="1" applyFill="1" applyBorder="1" applyAlignment="1">
      <alignment horizontal="center" vertical="center" wrapText="1"/>
    </xf>
    <xf numFmtId="0" fontId="7" fillId="0" borderId="32" xfId="0" applyFont="1" applyBorder="1" applyAlignment="1">
      <alignment horizontal="center" vertical="center" wrapText="1"/>
    </xf>
    <xf numFmtId="49" fontId="7" fillId="0" borderId="32" xfId="0" applyNumberFormat="1" applyFont="1" applyBorder="1" applyAlignment="1">
      <alignment horizontal="center" vertical="center"/>
    </xf>
    <xf numFmtId="0" fontId="8" fillId="2" borderId="32" xfId="0" applyFont="1" applyFill="1" applyBorder="1" applyAlignment="1">
      <alignment horizontal="center" vertical="center"/>
    </xf>
    <xf numFmtId="2" fontId="8" fillId="0" borderId="32" xfId="0" applyNumberFormat="1" applyFont="1" applyBorder="1" applyAlignment="1">
      <alignment vertical="center"/>
    </xf>
    <xf numFmtId="43" fontId="6" fillId="0" borderId="8" xfId="0" applyNumberFormat="1" applyFont="1" applyBorder="1" applyAlignment="1">
      <alignment vertical="center"/>
    </xf>
    <xf numFmtId="43" fontId="8" fillId="0" borderId="8" xfId="0" applyNumberFormat="1" applyFont="1" applyBorder="1" applyAlignment="1">
      <alignment vertical="center"/>
    </xf>
    <xf numFmtId="49" fontId="8" fillId="2" borderId="32" xfId="0" applyNumberFormat="1" applyFont="1" applyFill="1" applyBorder="1" applyAlignment="1">
      <alignment horizontal="center" vertical="center" wrapText="1"/>
    </xf>
    <xf numFmtId="0" fontId="6" fillId="2" borderId="32" xfId="2" applyFont="1" applyFill="1" applyBorder="1" applyAlignment="1">
      <alignment vertical="center" wrapText="1"/>
    </xf>
    <xf numFmtId="0" fontId="3" fillId="0" borderId="0" xfId="2"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43" fillId="0" borderId="0" xfId="0" applyFont="1" applyAlignment="1">
      <alignment horizontal="left" vertical="center"/>
    </xf>
    <xf numFmtId="0" fontId="3" fillId="0" borderId="0" xfId="0" applyFont="1" applyAlignment="1">
      <alignment horizontal="center" vertical="center" wrapText="1"/>
    </xf>
    <xf numFmtId="0" fontId="3" fillId="14" borderId="0" xfId="0" applyFont="1" applyFill="1" applyAlignment="1">
      <alignment horizontal="center" vertical="center" wrapText="1"/>
    </xf>
    <xf numFmtId="43" fontId="2" fillId="0" borderId="0" xfId="1" applyFont="1" applyFill="1" applyBorder="1" applyAlignment="1">
      <alignment horizontal="center" vertical="center" wrapText="1"/>
    </xf>
    <xf numFmtId="10" fontId="3" fillId="0" borderId="0" xfId="10" applyNumberFormat="1" applyFont="1" applyFill="1" applyBorder="1" applyAlignment="1">
      <alignment horizontal="center" vertical="center" wrapText="1"/>
    </xf>
    <xf numFmtId="10" fontId="3" fillId="0" borderId="0" xfId="10" applyNumberFormat="1" applyFont="1" applyFill="1" applyBorder="1" applyAlignment="1">
      <alignment horizontal="left" vertical="center"/>
    </xf>
    <xf numFmtId="0" fontId="43" fillId="0" borderId="0" xfId="0" applyFont="1" applyAlignment="1">
      <alignment horizontal="center" vertical="center"/>
    </xf>
    <xf numFmtId="0" fontId="37" fillId="7" borderId="33" xfId="0" applyFont="1" applyFill="1" applyBorder="1" applyAlignment="1">
      <alignment horizontal="center" vertical="center" wrapText="1"/>
    </xf>
    <xf numFmtId="0" fontId="40" fillId="16" borderId="33" xfId="0" applyFont="1" applyFill="1" applyBorder="1" applyAlignment="1">
      <alignment horizontal="center" vertical="center" wrapText="1"/>
    </xf>
    <xf numFmtId="0" fontId="40" fillId="16" borderId="33" xfId="0" applyFont="1" applyFill="1" applyBorder="1" applyAlignment="1">
      <alignment horizontal="left" vertical="center" wrapText="1"/>
    </xf>
    <xf numFmtId="0" fontId="37" fillId="7" borderId="35" xfId="0" applyFont="1" applyFill="1" applyBorder="1" applyAlignment="1">
      <alignment horizontal="center" vertical="center" wrapText="1"/>
    </xf>
    <xf numFmtId="0" fontId="22" fillId="0" borderId="0" xfId="0" applyFont="1" applyAlignment="1">
      <alignment horizontal="center" vertical="center" wrapText="1"/>
    </xf>
    <xf numFmtId="0" fontId="22" fillId="14" borderId="0" xfId="0" applyFont="1" applyFill="1" applyAlignment="1">
      <alignment horizontal="center" vertical="center" wrapText="1"/>
    </xf>
    <xf numFmtId="0" fontId="13" fillId="0" borderId="0" xfId="0" applyFont="1" applyAlignment="1">
      <alignment vertical="center" wrapText="1"/>
    </xf>
    <xf numFmtId="10" fontId="22" fillId="0" borderId="0" xfId="10" applyNumberFormat="1" applyFont="1" applyFill="1" applyBorder="1" applyAlignment="1">
      <alignment horizontal="center" vertical="center" wrapText="1"/>
    </xf>
    <xf numFmtId="10" fontId="13" fillId="0" borderId="0" xfId="10" applyNumberFormat="1" applyFont="1" applyFill="1" applyBorder="1" applyAlignment="1">
      <alignment horizontal="left" vertical="center" wrapText="1"/>
    </xf>
    <xf numFmtId="10" fontId="22" fillId="0" borderId="0" xfId="10" applyNumberFormat="1" applyFont="1" applyFill="1" applyBorder="1" applyAlignment="1">
      <alignment horizontal="left" vertical="center"/>
    </xf>
    <xf numFmtId="0" fontId="23" fillId="0" borderId="0" xfId="0" applyFont="1" applyAlignment="1">
      <alignment horizontal="center" vertical="center"/>
    </xf>
    <xf numFmtId="0" fontId="3" fillId="0" borderId="36" xfId="2" applyFont="1" applyBorder="1" applyAlignment="1">
      <alignment horizontal="center"/>
    </xf>
    <xf numFmtId="10" fontId="12" fillId="0" borderId="36" xfId="2" applyNumberFormat="1" applyFont="1" applyBorder="1" applyAlignment="1">
      <alignment horizontal="center"/>
    </xf>
    <xf numFmtId="0" fontId="47" fillId="0" borderId="0" xfId="0" applyFont="1" applyAlignment="1">
      <alignment vertical="center"/>
    </xf>
    <xf numFmtId="0" fontId="48" fillId="0" borderId="0" xfId="0" applyFont="1" applyAlignment="1">
      <alignment horizontal="center" vertical="center" wrapText="1"/>
    </xf>
    <xf numFmtId="43" fontId="48" fillId="0" borderId="0" xfId="1" applyFont="1" applyAlignment="1">
      <alignment horizontal="center" vertical="center" wrapText="1"/>
    </xf>
    <xf numFmtId="10" fontId="47" fillId="0" borderId="0" xfId="10" applyNumberFormat="1" applyFont="1" applyAlignment="1">
      <alignment horizontal="left" vertical="center" wrapText="1"/>
    </xf>
    <xf numFmtId="0" fontId="48" fillId="0" borderId="0" xfId="0" applyFont="1" applyAlignment="1">
      <alignment vertical="center"/>
    </xf>
    <xf numFmtId="0" fontId="49" fillId="0" borderId="0" xfId="2" applyFont="1" applyAlignment="1">
      <alignment horizontal="left"/>
    </xf>
    <xf numFmtId="0" fontId="53" fillId="0" borderId="36" xfId="2" applyFont="1" applyBorder="1" applyAlignment="1">
      <alignment horizontal="center" vertical="center"/>
    </xf>
    <xf numFmtId="10" fontId="53" fillId="5" borderId="36" xfId="2" applyNumberFormat="1" applyFont="1" applyFill="1" applyBorder="1" applyAlignment="1" applyProtection="1">
      <alignment horizontal="center" vertical="center"/>
      <protection locked="0"/>
    </xf>
    <xf numFmtId="10" fontId="53" fillId="0" borderId="36" xfId="2" applyNumberFormat="1" applyFont="1" applyBorder="1" applyAlignment="1">
      <alignment horizontal="center" vertical="center"/>
    </xf>
    <xf numFmtId="0" fontId="52" fillId="7" borderId="36" xfId="2" applyFont="1" applyFill="1" applyBorder="1" applyAlignment="1">
      <alignment horizontal="center" vertical="center" wrapText="1"/>
    </xf>
    <xf numFmtId="10" fontId="52" fillId="10" borderId="36" xfId="2" applyNumberFormat="1" applyFont="1" applyFill="1" applyBorder="1" applyAlignment="1">
      <alignment horizontal="center" vertical="center"/>
    </xf>
    <xf numFmtId="0" fontId="53" fillId="6" borderId="36" xfId="2" applyFont="1" applyFill="1" applyBorder="1" applyAlignment="1">
      <alignment horizontal="center" vertical="center" wrapText="1"/>
    </xf>
    <xf numFmtId="10" fontId="52" fillId="6" borderId="36" xfId="2" applyNumberFormat="1" applyFont="1" applyFill="1" applyBorder="1" applyAlignment="1">
      <alignment horizontal="center" vertical="center"/>
    </xf>
    <xf numFmtId="0" fontId="54" fillId="0" borderId="0" xfId="2" applyFont="1" applyAlignment="1">
      <alignment horizontal="right" vertical="center"/>
    </xf>
    <xf numFmtId="0" fontId="58" fillId="0" borderId="0" xfId="2" applyFont="1" applyAlignment="1">
      <alignment horizontal="center" vertical="top"/>
    </xf>
    <xf numFmtId="10" fontId="53" fillId="0" borderId="36" xfId="2" applyNumberFormat="1" applyFont="1" applyBorder="1" applyAlignment="1">
      <alignment horizontal="center" vertical="center" wrapText="1"/>
    </xf>
    <xf numFmtId="0" fontId="39" fillId="15" borderId="33" xfId="0" applyFont="1" applyFill="1" applyBorder="1" applyAlignment="1">
      <alignment horizontal="center" vertical="center" wrapText="1"/>
    </xf>
    <xf numFmtId="0" fontId="39" fillId="15" borderId="33" xfId="0" applyFont="1" applyFill="1" applyBorder="1" applyAlignment="1">
      <alignment horizontal="left" vertical="center" wrapText="1"/>
    </xf>
    <xf numFmtId="0" fontId="40" fillId="17" borderId="33" xfId="0" applyFont="1" applyFill="1" applyBorder="1" applyAlignment="1">
      <alignment horizontal="center" vertical="center" wrapText="1"/>
    </xf>
    <xf numFmtId="0" fontId="40" fillId="17" borderId="33" xfId="0" applyFont="1" applyFill="1" applyBorder="1" applyAlignment="1">
      <alignment horizontal="left" vertical="center" wrapText="1"/>
    </xf>
    <xf numFmtId="43" fontId="39" fillId="15" borderId="33" xfId="1" applyFont="1" applyFill="1" applyBorder="1" applyAlignment="1">
      <alignment horizontal="right" vertical="center" wrapText="1"/>
    </xf>
    <xf numFmtId="43" fontId="40" fillId="17" borderId="33" xfId="1" applyFont="1" applyFill="1" applyBorder="1" applyAlignment="1">
      <alignment horizontal="right" vertical="center" wrapText="1"/>
    </xf>
    <xf numFmtId="44" fontId="39" fillId="15" borderId="33" xfId="9" applyFont="1" applyFill="1" applyBorder="1" applyAlignment="1">
      <alignment horizontal="left" vertical="center" wrapText="1"/>
    </xf>
    <xf numFmtId="44" fontId="39" fillId="15" borderId="33" xfId="9" applyFont="1" applyFill="1" applyBorder="1" applyAlignment="1">
      <alignment horizontal="right" vertical="center" wrapText="1"/>
    </xf>
    <xf numFmtId="44" fontId="40" fillId="17" borderId="33" xfId="9" applyFont="1" applyFill="1" applyBorder="1" applyAlignment="1">
      <alignment horizontal="right" vertical="center" wrapText="1"/>
    </xf>
    <xf numFmtId="43" fontId="40" fillId="0" borderId="33" xfId="1" applyFont="1" applyFill="1" applyBorder="1" applyAlignment="1">
      <alignment horizontal="right" vertical="center" wrapText="1"/>
    </xf>
    <xf numFmtId="44" fontId="40" fillId="0" borderId="33" xfId="9" applyFont="1" applyFill="1" applyBorder="1" applyAlignment="1">
      <alignment horizontal="right" vertical="center" wrapText="1"/>
    </xf>
    <xf numFmtId="0" fontId="37" fillId="7" borderId="2" xfId="0" applyFont="1" applyFill="1" applyBorder="1" applyAlignment="1">
      <alignment horizontal="center" vertical="center" wrapText="1"/>
    </xf>
    <xf numFmtId="0" fontId="37" fillId="7" borderId="2" xfId="0" applyFont="1" applyFill="1" applyBorder="1" applyAlignment="1">
      <alignment horizontal="left" vertical="center" wrapText="1"/>
    </xf>
    <xf numFmtId="0" fontId="39" fillId="15" borderId="40" xfId="0" applyFont="1" applyFill="1" applyBorder="1" applyAlignment="1">
      <alignment horizontal="center" vertical="center" wrapText="1"/>
    </xf>
    <xf numFmtId="0" fontId="39" fillId="15" borderId="40" xfId="0" applyFont="1" applyFill="1" applyBorder="1" applyAlignment="1">
      <alignment horizontal="left" vertical="center" wrapText="1"/>
    </xf>
    <xf numFmtId="0" fontId="40" fillId="17" borderId="41" xfId="0" applyFont="1" applyFill="1" applyBorder="1" applyAlignment="1">
      <alignment horizontal="center" vertical="center" wrapText="1"/>
    </xf>
    <xf numFmtId="0" fontId="40" fillId="17" borderId="41" xfId="0" applyFont="1" applyFill="1" applyBorder="1" applyAlignment="1">
      <alignment horizontal="left" vertical="center" wrapText="1"/>
    </xf>
    <xf numFmtId="43" fontId="40" fillId="0" borderId="40" xfId="1" applyFont="1" applyFill="1" applyBorder="1" applyAlignment="1">
      <alignment horizontal="right" vertical="center" wrapText="1"/>
    </xf>
    <xf numFmtId="44" fontId="40" fillId="0" borderId="40" xfId="9" applyFont="1" applyFill="1" applyBorder="1" applyAlignment="1">
      <alignment horizontal="right" vertical="center" wrapText="1"/>
    </xf>
    <xf numFmtId="43" fontId="6" fillId="0" borderId="8" xfId="1" applyFont="1" applyBorder="1" applyAlignment="1">
      <alignment vertical="center"/>
    </xf>
    <xf numFmtId="0" fontId="40" fillId="0" borderId="33" xfId="0" applyFont="1" applyBorder="1" applyAlignment="1">
      <alignment horizontal="center" vertical="center" wrapText="1"/>
    </xf>
    <xf numFmtId="0" fontId="40" fillId="0" borderId="33" xfId="0" applyFont="1" applyBorder="1" applyAlignment="1">
      <alignment horizontal="left" vertical="center" wrapText="1"/>
    </xf>
    <xf numFmtId="0" fontId="39" fillId="15" borderId="42" xfId="0" applyFont="1" applyFill="1" applyBorder="1" applyAlignment="1">
      <alignment horizontal="center" vertical="center" wrapText="1"/>
    </xf>
    <xf numFmtId="43" fontId="39" fillId="15" borderId="40" xfId="1" applyFont="1" applyFill="1" applyBorder="1" applyAlignment="1">
      <alignment horizontal="right" vertical="center" wrapText="1"/>
    </xf>
    <xf numFmtId="44" fontId="39" fillId="15" borderId="40" xfId="9" applyFont="1" applyFill="1" applyBorder="1" applyAlignment="1">
      <alignment horizontal="left" vertical="center" wrapText="1"/>
    </xf>
    <xf numFmtId="44" fontId="39" fillId="15" borderId="40" xfId="9" applyFont="1" applyFill="1" applyBorder="1" applyAlignment="1">
      <alignment horizontal="right" vertical="center" wrapText="1"/>
    </xf>
    <xf numFmtId="170" fontId="39" fillId="15" borderId="43" xfId="0" applyNumberFormat="1" applyFont="1" applyFill="1" applyBorder="1" applyAlignment="1">
      <alignment horizontal="center" vertical="center" wrapText="1"/>
    </xf>
    <xf numFmtId="0" fontId="40" fillId="0" borderId="44" xfId="0" applyFont="1" applyBorder="1" applyAlignment="1">
      <alignment horizontal="center" vertical="center" wrapText="1"/>
    </xf>
    <xf numFmtId="170" fontId="40" fillId="0" borderId="45" xfId="0" applyNumberFormat="1" applyFont="1" applyBorder="1" applyAlignment="1">
      <alignment horizontal="center" vertical="center" wrapText="1"/>
    </xf>
    <xf numFmtId="0" fontId="39" fillId="15" borderId="44" xfId="0" applyFont="1" applyFill="1" applyBorder="1" applyAlignment="1">
      <alignment horizontal="center" vertical="center" wrapText="1"/>
    </xf>
    <xf numFmtId="170" fontId="39" fillId="15" borderId="45" xfId="0" applyNumberFormat="1" applyFont="1" applyFill="1" applyBorder="1" applyAlignment="1">
      <alignment horizontal="center" vertical="center" wrapText="1"/>
    </xf>
    <xf numFmtId="0" fontId="40" fillId="17" borderId="44" xfId="0" applyFont="1" applyFill="1" applyBorder="1" applyAlignment="1">
      <alignment horizontal="center" vertical="center" wrapText="1"/>
    </xf>
    <xf numFmtId="170" fontId="40" fillId="17" borderId="45" xfId="0" applyNumberFormat="1" applyFont="1" applyFill="1" applyBorder="1" applyAlignment="1">
      <alignment horizontal="center" vertical="center" wrapText="1"/>
    </xf>
    <xf numFmtId="0" fontId="40" fillId="17" borderId="46" xfId="0" applyFont="1" applyFill="1" applyBorder="1" applyAlignment="1">
      <alignment horizontal="center" vertical="center" wrapText="1"/>
    </xf>
    <xf numFmtId="43" fontId="40" fillId="17" borderId="41" xfId="1" applyFont="1" applyFill="1" applyBorder="1" applyAlignment="1">
      <alignment horizontal="right" vertical="center" wrapText="1"/>
    </xf>
    <xf numFmtId="44" fontId="40" fillId="17" borderId="41" xfId="9" applyFont="1" applyFill="1" applyBorder="1" applyAlignment="1">
      <alignment horizontal="right" vertical="center" wrapText="1"/>
    </xf>
    <xf numFmtId="170" fontId="40" fillId="17" borderId="47" xfId="0" applyNumberFormat="1" applyFont="1" applyFill="1" applyBorder="1" applyAlignment="1">
      <alignment horizontal="center" vertical="center" wrapText="1"/>
    </xf>
    <xf numFmtId="0" fontId="38" fillId="14" borderId="0" xfId="0" applyFont="1" applyFill="1" applyAlignment="1">
      <alignment vertical="top" wrapText="1"/>
    </xf>
    <xf numFmtId="0" fontId="0" fillId="7" borderId="37" xfId="0" applyFill="1" applyBorder="1" applyAlignment="1">
      <alignment horizontal="center" vertical="center"/>
    </xf>
    <xf numFmtId="0" fontId="0" fillId="7" borderId="38" xfId="0" applyFill="1" applyBorder="1" applyAlignment="1">
      <alignment horizontal="center" vertical="center"/>
    </xf>
    <xf numFmtId="0" fontId="0" fillId="7" borderId="38" xfId="0" applyFill="1" applyBorder="1" applyAlignment="1">
      <alignment vertical="center"/>
    </xf>
    <xf numFmtId="0" fontId="59" fillId="7" borderId="38" xfId="0" applyFont="1" applyFill="1" applyBorder="1" applyAlignment="1">
      <alignment horizontal="right" vertical="top"/>
    </xf>
    <xf numFmtId="0" fontId="0" fillId="7" borderId="39" xfId="0" applyFill="1" applyBorder="1" applyAlignment="1">
      <alignment vertical="center"/>
    </xf>
    <xf numFmtId="44" fontId="59" fillId="7" borderId="32" xfId="9" applyFont="1" applyFill="1" applyBorder="1" applyAlignment="1">
      <alignment vertical="top" wrapText="1"/>
    </xf>
    <xf numFmtId="0" fontId="37" fillId="7" borderId="12" xfId="0" applyFont="1" applyFill="1" applyBorder="1" applyAlignment="1">
      <alignment horizontal="center" vertical="center" wrapText="1"/>
    </xf>
    <xf numFmtId="0" fontId="37" fillId="7" borderId="12" xfId="0" applyFont="1" applyFill="1" applyBorder="1" applyAlignment="1">
      <alignment horizontal="left" vertical="center" wrapText="1"/>
    </xf>
    <xf numFmtId="0" fontId="40" fillId="15" borderId="48" xfId="0" applyFont="1" applyFill="1" applyBorder="1" applyAlignment="1">
      <alignment horizontal="center" vertical="center" wrapText="1"/>
    </xf>
    <xf numFmtId="0" fontId="40" fillId="17" borderId="49" xfId="0" applyFont="1" applyFill="1" applyBorder="1" applyAlignment="1">
      <alignment horizontal="center" vertical="center" wrapText="1"/>
    </xf>
    <xf numFmtId="0" fontId="40" fillId="0" borderId="49" xfId="0" applyFont="1" applyBorder="1" applyAlignment="1">
      <alignment horizontal="center" vertical="center" wrapText="1"/>
    </xf>
    <xf numFmtId="0" fontId="38" fillId="14" borderId="2" xfId="0" applyFont="1" applyFill="1" applyBorder="1" applyAlignment="1">
      <alignment horizontal="right" vertical="top" wrapText="1"/>
    </xf>
    <xf numFmtId="0" fontId="38" fillId="7" borderId="2" xfId="0" applyFont="1" applyFill="1" applyBorder="1" applyAlignment="1">
      <alignment horizontal="right" vertical="top" wrapText="1"/>
    </xf>
    <xf numFmtId="44" fontId="38" fillId="7" borderId="2" xfId="9" applyFont="1" applyFill="1" applyBorder="1" applyAlignment="1">
      <alignment horizontal="right" vertical="top" wrapText="1"/>
    </xf>
    <xf numFmtId="0" fontId="40" fillId="15" borderId="50" xfId="0" applyFont="1" applyFill="1" applyBorder="1" applyAlignment="1">
      <alignment horizontal="center" vertical="center" wrapText="1"/>
    </xf>
    <xf numFmtId="0" fontId="39" fillId="15" borderId="43" xfId="0" applyFont="1" applyFill="1" applyBorder="1" applyAlignment="1">
      <alignment horizontal="center" vertical="center" wrapText="1"/>
    </xf>
    <xf numFmtId="0" fontId="40" fillId="0" borderId="45" xfId="0" applyFont="1" applyBorder="1" applyAlignment="1">
      <alignment horizontal="center" vertical="center" wrapText="1"/>
    </xf>
    <xf numFmtId="0" fontId="39" fillId="15" borderId="45" xfId="0" applyFont="1" applyFill="1" applyBorder="1" applyAlignment="1">
      <alignment horizontal="center" vertical="center" wrapText="1"/>
    </xf>
    <xf numFmtId="0" fontId="40" fillId="15" borderId="51" xfId="0" applyFont="1" applyFill="1" applyBorder="1" applyAlignment="1">
      <alignment horizontal="center" vertical="center" wrapText="1"/>
    </xf>
    <xf numFmtId="0" fontId="40" fillId="0" borderId="52" xfId="0" applyFont="1" applyBorder="1" applyAlignment="1">
      <alignment horizontal="center" vertical="center" wrapText="1"/>
    </xf>
    <xf numFmtId="0" fontId="40" fillId="17" borderId="45"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40" xfId="0" applyFont="1" applyBorder="1" applyAlignment="1">
      <alignment horizontal="center" vertical="center" wrapText="1"/>
    </xf>
    <xf numFmtId="0" fontId="40" fillId="0" borderId="40" xfId="0" applyFont="1" applyBorder="1" applyAlignment="1">
      <alignment horizontal="left" vertical="center" wrapText="1"/>
    </xf>
    <xf numFmtId="0" fontId="40" fillId="0" borderId="43" xfId="0" applyFont="1" applyBorder="1" applyAlignment="1">
      <alignment horizontal="center" vertical="center" wrapText="1"/>
    </xf>
    <xf numFmtId="0" fontId="40" fillId="0" borderId="46" xfId="0" applyFont="1" applyBorder="1" applyAlignment="1">
      <alignment horizontal="center" vertical="center" wrapText="1"/>
    </xf>
    <xf numFmtId="0" fontId="40" fillId="0" borderId="41" xfId="0" applyFont="1" applyBorder="1" applyAlignment="1">
      <alignment horizontal="center" vertical="center" wrapText="1"/>
    </xf>
    <xf numFmtId="0" fontId="40" fillId="0" borderId="41" xfId="0" applyFont="1" applyBorder="1" applyAlignment="1">
      <alignment horizontal="left" vertical="center" wrapText="1"/>
    </xf>
    <xf numFmtId="43" fontId="40" fillId="0" borderId="41" xfId="1" applyFont="1" applyFill="1" applyBorder="1" applyAlignment="1">
      <alignment horizontal="right" vertical="center" wrapText="1"/>
    </xf>
    <xf numFmtId="44" fontId="40" fillId="0" borderId="41" xfId="9" applyFont="1" applyFill="1" applyBorder="1" applyAlignment="1">
      <alignment horizontal="right" vertical="center" wrapText="1"/>
    </xf>
    <xf numFmtId="0" fontId="40" fillId="0" borderId="47" xfId="0" applyFont="1" applyBorder="1" applyAlignment="1">
      <alignment horizontal="center" vertical="center" wrapText="1"/>
    </xf>
    <xf numFmtId="0" fontId="37" fillId="14" borderId="0" xfId="0" applyFont="1" applyFill="1" applyAlignment="1">
      <alignment vertical="center" wrapText="1"/>
    </xf>
    <xf numFmtId="169" fontId="40" fillId="16" borderId="33" xfId="0" applyNumberFormat="1" applyFont="1" applyFill="1" applyBorder="1" applyAlignment="1">
      <alignment horizontal="right" vertical="center" wrapText="1"/>
    </xf>
    <xf numFmtId="44" fontId="40" fillId="16" borderId="33" xfId="9" applyFont="1" applyFill="1" applyBorder="1" applyAlignment="1">
      <alignment horizontal="right" vertical="center" wrapText="1"/>
    </xf>
    <xf numFmtId="0" fontId="41" fillId="0" borderId="33" xfId="0" applyFont="1" applyBorder="1" applyAlignment="1">
      <alignment horizontal="center" vertical="center" wrapText="1"/>
    </xf>
    <xf numFmtId="0" fontId="41" fillId="0" borderId="33" xfId="0" applyFont="1" applyBorder="1" applyAlignment="1">
      <alignment horizontal="left" vertical="center" wrapText="1"/>
    </xf>
    <xf numFmtId="169" fontId="41" fillId="0" borderId="33" xfId="0" applyNumberFormat="1" applyFont="1" applyBorder="1" applyAlignment="1">
      <alignment horizontal="right" vertical="center" wrapText="1"/>
    </xf>
    <xf numFmtId="44" fontId="41" fillId="0" borderId="33" xfId="9" applyFont="1" applyFill="1" applyBorder="1" applyAlignment="1">
      <alignment horizontal="right" vertical="center" wrapText="1"/>
    </xf>
    <xf numFmtId="0" fontId="41" fillId="14" borderId="0" xfId="0" applyFont="1" applyFill="1" applyAlignment="1">
      <alignment horizontal="right" vertical="center" wrapText="1"/>
    </xf>
    <xf numFmtId="44" fontId="3" fillId="14" borderId="0" xfId="9" applyFont="1" applyFill="1" applyAlignment="1">
      <alignment horizontal="right" vertical="center" wrapText="1"/>
    </xf>
    <xf numFmtId="0" fontId="40" fillId="16" borderId="34" xfId="0" applyFont="1" applyFill="1" applyBorder="1" applyAlignment="1">
      <alignment horizontal="left" vertical="center" wrapText="1"/>
    </xf>
    <xf numFmtId="0" fontId="40" fillId="16" borderId="33" xfId="0" applyFont="1" applyFill="1" applyBorder="1" applyAlignment="1">
      <alignment horizontal="right" vertical="center" wrapText="1"/>
    </xf>
    <xf numFmtId="0" fontId="37" fillId="7" borderId="33" xfId="0" applyFont="1" applyFill="1" applyBorder="1" applyAlignment="1">
      <alignment horizontal="left" vertical="center" wrapText="1"/>
    </xf>
    <xf numFmtId="0" fontId="37" fillId="7" borderId="35" xfId="0" applyFont="1" applyFill="1" applyBorder="1" applyAlignment="1">
      <alignment horizontal="left" vertical="center" wrapText="1"/>
    </xf>
    <xf numFmtId="4" fontId="6" fillId="7" borderId="2" xfId="0" applyNumberFormat="1" applyFont="1" applyFill="1" applyBorder="1" applyAlignment="1">
      <alignment horizontal="center" vertical="center" wrapText="1"/>
    </xf>
    <xf numFmtId="0" fontId="9" fillId="7" borderId="25" xfId="2" applyFont="1" applyFill="1" applyBorder="1" applyAlignment="1">
      <alignment horizontal="center" vertical="center" wrapText="1"/>
    </xf>
    <xf numFmtId="0" fontId="6" fillId="3" borderId="13" xfId="0" quotePrefix="1" applyFont="1" applyFill="1" applyBorder="1" applyAlignment="1">
      <alignment horizontal="center" vertical="center"/>
    </xf>
    <xf numFmtId="0" fontId="6" fillId="3" borderId="3" xfId="0" quotePrefix="1" applyFont="1" applyFill="1" applyBorder="1" applyAlignment="1">
      <alignment horizontal="center" vertical="center"/>
    </xf>
    <xf numFmtId="0" fontId="6" fillId="3" borderId="1" xfId="0" quotePrefix="1" applyFont="1" applyFill="1" applyBorder="1" applyAlignment="1">
      <alignment horizontal="center" vertical="center"/>
    </xf>
    <xf numFmtId="0" fontId="0" fillId="0" borderId="0" xfId="2" applyFont="1" applyAlignment="1">
      <alignment horizontal="center" vertical="center"/>
    </xf>
    <xf numFmtId="0" fontId="56" fillId="0" borderId="0" xfId="0" applyFont="1" applyAlignment="1">
      <alignment horizontal="right" vertical="center"/>
    </xf>
    <xf numFmtId="0" fontId="57" fillId="0" borderId="0" xfId="0" applyFont="1" applyAlignment="1">
      <alignment horizontal="center"/>
    </xf>
    <xf numFmtId="0" fontId="56" fillId="0" borderId="0" xfId="0" applyFont="1" applyAlignment="1">
      <alignment horizontal="left" vertical="center"/>
    </xf>
    <xf numFmtId="0" fontId="56" fillId="0" borderId="0" xfId="0" applyFont="1" applyAlignment="1">
      <alignment horizontal="center" vertical="top"/>
    </xf>
    <xf numFmtId="0" fontId="49" fillId="0" borderId="36" xfId="2" applyFont="1" applyBorder="1" applyAlignment="1">
      <alignment horizontal="left" vertical="center" wrapText="1"/>
    </xf>
    <xf numFmtId="4" fontId="52" fillId="0" borderId="36" xfId="2" applyNumberFormat="1" applyFont="1" applyBorder="1" applyAlignment="1">
      <alignment horizontal="center" vertical="center"/>
    </xf>
    <xf numFmtId="0" fontId="0" fillId="0" borderId="36" xfId="2" applyFont="1" applyBorder="1" applyAlignment="1">
      <alignment horizontal="center" vertical="center" wrapText="1"/>
    </xf>
    <xf numFmtId="0" fontId="36" fillId="7" borderId="36" xfId="2" applyFont="1" applyFill="1" applyBorder="1" applyAlignment="1">
      <alignment horizontal="center" vertical="center" wrapText="1"/>
    </xf>
    <xf numFmtId="4" fontId="52" fillId="0" borderId="36" xfId="2" applyNumberFormat="1" applyFont="1" applyBorder="1" applyAlignment="1">
      <alignment horizontal="center" vertical="center" wrapText="1"/>
    </xf>
    <xf numFmtId="0" fontId="53" fillId="6" borderId="36" xfId="2" applyFont="1" applyFill="1" applyBorder="1" applyAlignment="1">
      <alignment horizontal="center" vertical="center" wrapText="1"/>
    </xf>
    <xf numFmtId="0" fontId="55" fillId="0" borderId="0" xfId="2" applyFont="1" applyAlignment="1">
      <alignment horizontal="left" vertical="center" indent="1"/>
    </xf>
    <xf numFmtId="0" fontId="51" fillId="0" borderId="36" xfId="2" applyFont="1" applyBorder="1" applyAlignment="1">
      <alignment horizontal="center" vertical="center"/>
    </xf>
    <xf numFmtId="0" fontId="49" fillId="0" borderId="36" xfId="2" applyFont="1" applyBorder="1" applyAlignment="1">
      <alignment horizontal="left" wrapText="1"/>
    </xf>
    <xf numFmtId="10" fontId="49" fillId="5" borderId="36" xfId="2" applyNumberFormat="1" applyFont="1" applyFill="1" applyBorder="1" applyAlignment="1" applyProtection="1">
      <alignment horizontal="center"/>
      <protection locked="0"/>
    </xf>
    <xf numFmtId="0" fontId="49" fillId="0" borderId="36" xfId="2" applyFont="1" applyBorder="1" applyAlignment="1">
      <alignment horizontal="left"/>
    </xf>
    <xf numFmtId="0" fontId="50" fillId="0" borderId="36" xfId="2" applyFont="1" applyBorder="1" applyAlignment="1">
      <alignment horizontal="center"/>
    </xf>
    <xf numFmtId="0" fontId="51" fillId="7" borderId="23" xfId="11" applyFont="1" applyFill="1" applyBorder="1" applyAlignment="1">
      <alignment horizontal="left" vertical="top"/>
    </xf>
    <xf numFmtId="165" fontId="49" fillId="11" borderId="24" xfId="12" applyFont="1" applyFill="1" applyBorder="1" applyAlignment="1" applyProtection="1">
      <alignment horizontal="left"/>
      <protection locked="0"/>
    </xf>
    <xf numFmtId="0" fontId="52" fillId="4" borderId="36" xfId="2" applyFont="1" applyFill="1" applyBorder="1" applyAlignment="1">
      <alignment horizontal="center" vertical="center"/>
    </xf>
    <xf numFmtId="4" fontId="52" fillId="4" borderId="36" xfId="2" applyNumberFormat="1" applyFont="1" applyFill="1" applyBorder="1" applyAlignment="1">
      <alignment horizontal="center" vertical="center" wrapText="1"/>
    </xf>
    <xf numFmtId="0" fontId="46" fillId="7" borderId="0" xfId="0" applyFont="1" applyFill="1" applyAlignment="1">
      <alignment horizontal="center" vertical="center"/>
    </xf>
    <xf numFmtId="0" fontId="14" fillId="0" borderId="0" xfId="0" applyFont="1" applyAlignment="1">
      <alignment horizontal="center" textRotation="90"/>
    </xf>
    <xf numFmtId="0" fontId="3" fillId="0" borderId="23" xfId="11" applyFont="1" applyBorder="1" applyAlignment="1">
      <alignment horizontal="left" vertical="top"/>
    </xf>
    <xf numFmtId="0" fontId="13" fillId="0" borderId="24" xfId="12" applyNumberFormat="1" applyFont="1" applyFill="1" applyBorder="1" applyAlignment="1" applyProtection="1">
      <alignment horizontal="left" wrapText="1"/>
    </xf>
    <xf numFmtId="0" fontId="13" fillId="0" borderId="26" xfId="2" applyFont="1" applyBorder="1" applyAlignment="1">
      <alignment horizontal="left" wrapText="1"/>
    </xf>
    <xf numFmtId="10" fontId="13" fillId="5" borderId="26" xfId="2" applyNumberFormat="1" applyFont="1" applyFill="1" applyBorder="1" applyAlignment="1" applyProtection="1">
      <alignment horizontal="center"/>
      <protection locked="0"/>
    </xf>
    <xf numFmtId="0" fontId="13" fillId="0" borderId="26" xfId="2" applyFont="1" applyBorder="1" applyAlignment="1">
      <alignment horizontal="left"/>
    </xf>
    <xf numFmtId="0" fontId="0" fillId="0" borderId="23" xfId="0" applyBorder="1" applyAlignment="1">
      <alignment horizontal="center"/>
    </xf>
    <xf numFmtId="0" fontId="3" fillId="0" borderId="24" xfId="0" applyFont="1" applyBorder="1" applyAlignment="1">
      <alignment horizontal="center"/>
    </xf>
    <xf numFmtId="0" fontId="0" fillId="0" borderId="24" xfId="2" applyFont="1" applyBorder="1" applyAlignment="1">
      <alignment horizontal="left" vertical="top" wrapText="1"/>
    </xf>
    <xf numFmtId="0" fontId="9" fillId="7" borderId="28" xfId="2" applyFont="1" applyFill="1" applyBorder="1" applyAlignment="1">
      <alignment horizontal="center" vertical="center" wrapText="1"/>
    </xf>
    <xf numFmtId="0" fontId="45" fillId="7" borderId="0" xfId="0" applyFont="1" applyFill="1" applyAlignment="1">
      <alignment horizontal="center" vertical="center"/>
    </xf>
    <xf numFmtId="0" fontId="0" fillId="0" borderId="26" xfId="2" applyFont="1" applyBorder="1" applyAlignment="1">
      <alignment horizontal="center" vertical="center" wrapText="1"/>
    </xf>
    <xf numFmtId="0" fontId="36" fillId="7" borderId="26" xfId="2" applyFont="1" applyFill="1" applyBorder="1" applyAlignment="1">
      <alignment horizontal="center" vertical="center" wrapText="1"/>
    </xf>
    <xf numFmtId="0" fontId="13" fillId="0" borderId="26" xfId="2" applyFont="1" applyBorder="1" applyAlignment="1">
      <alignment horizontal="left" vertical="center" wrapText="1"/>
    </xf>
    <xf numFmtId="49" fontId="0" fillId="5" borderId="26" xfId="2" applyNumberFormat="1" applyFont="1" applyFill="1" applyBorder="1" applyAlignment="1" applyProtection="1">
      <alignment horizontal="left" vertical="top" wrapText="1"/>
      <protection locked="0"/>
    </xf>
    <xf numFmtId="166" fontId="0" fillId="0" borderId="14" xfId="2" applyNumberFormat="1" applyFont="1" applyBorder="1" applyAlignment="1">
      <alignment horizontal="left"/>
    </xf>
    <xf numFmtId="167" fontId="0" fillId="0" borderId="14" xfId="2" applyNumberFormat="1" applyFont="1" applyBorder="1" applyAlignment="1">
      <alignment horizontal="left"/>
    </xf>
    <xf numFmtId="4" fontId="16" fillId="0" borderId="26" xfId="2" applyNumberFormat="1" applyFont="1" applyBorder="1" applyAlignment="1">
      <alignment horizontal="center" vertical="center" wrapText="1"/>
    </xf>
    <xf numFmtId="0" fontId="3" fillId="0" borderId="26" xfId="2" applyFont="1" applyBorder="1" applyAlignment="1">
      <alignment horizontal="center" vertical="center"/>
    </xf>
    <xf numFmtId="4" fontId="16" fillId="0" borderId="26" xfId="2" applyNumberFormat="1" applyFont="1" applyBorder="1" applyAlignment="1">
      <alignment horizontal="center" vertical="center"/>
    </xf>
    <xf numFmtId="0" fontId="11" fillId="0" borderId="26" xfId="2" applyFont="1" applyBorder="1" applyAlignment="1">
      <alignment horizontal="center"/>
    </xf>
    <xf numFmtId="0" fontId="3" fillId="7" borderId="23" xfId="11" applyFont="1" applyFill="1" applyBorder="1" applyAlignment="1">
      <alignment horizontal="left" vertical="top"/>
    </xf>
    <xf numFmtId="165" fontId="13" fillId="11" borderId="24" xfId="12" applyFont="1" applyFill="1" applyBorder="1" applyAlignment="1" applyProtection="1">
      <alignment horizontal="left"/>
      <protection locked="0"/>
    </xf>
    <xf numFmtId="0" fontId="16" fillId="4" borderId="26" xfId="2" applyFont="1" applyFill="1" applyBorder="1" applyAlignment="1">
      <alignment horizontal="center" vertical="center"/>
    </xf>
    <xf numFmtId="4" fontId="16" fillId="4" borderId="26" xfId="2" applyNumberFormat="1" applyFont="1" applyFill="1" applyBorder="1" applyAlignment="1">
      <alignment horizontal="center" vertical="center" wrapText="1"/>
    </xf>
    <xf numFmtId="0" fontId="31"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left" vertical="center"/>
    </xf>
    <xf numFmtId="0" fontId="31" fillId="0" borderId="0" xfId="0" applyFont="1" applyAlignment="1">
      <alignment horizontal="center" vertical="top"/>
    </xf>
    <xf numFmtId="0" fontId="17" fillId="6" borderId="26" xfId="2" applyFont="1" applyFill="1" applyBorder="1" applyAlignment="1">
      <alignment horizontal="center" vertical="center" wrapText="1"/>
    </xf>
    <xf numFmtId="0" fontId="18" fillId="0" borderId="0" xfId="2" applyFont="1" applyAlignment="1">
      <alignment horizontal="left" vertical="center" indent="1"/>
    </xf>
    <xf numFmtId="0" fontId="0" fillId="0" borderId="27" xfId="2" applyFont="1" applyBorder="1" applyAlignment="1">
      <alignment horizontal="left" vertical="center"/>
    </xf>
    <xf numFmtId="0" fontId="16" fillId="0" borderId="26" xfId="2" applyFont="1" applyBorder="1" applyAlignment="1">
      <alignment horizontal="center" vertical="center"/>
    </xf>
    <xf numFmtId="0" fontId="3" fillId="0" borderId="0" xfId="2" applyFont="1" applyAlignment="1">
      <alignment horizontal="left" vertical="center"/>
    </xf>
    <xf numFmtId="0" fontId="16" fillId="0" borderId="0" xfId="2" applyFont="1" applyAlignment="1">
      <alignment horizontal="left" vertical="center"/>
    </xf>
    <xf numFmtId="0" fontId="3" fillId="14" borderId="0" xfId="0" applyFont="1" applyFill="1" applyAlignment="1">
      <alignment horizontal="right" vertical="center" wrapText="1"/>
    </xf>
    <xf numFmtId="0" fontId="3" fillId="14" borderId="53" xfId="0" applyFont="1" applyFill="1" applyBorder="1" applyAlignment="1">
      <alignment horizontal="right" vertical="center" wrapText="1"/>
    </xf>
    <xf numFmtId="0" fontId="9" fillId="7" borderId="37" xfId="2" applyFont="1" applyFill="1" applyBorder="1" applyAlignment="1">
      <alignment horizontal="center" vertical="center" wrapText="1"/>
    </xf>
    <xf numFmtId="0" fontId="9" fillId="7" borderId="38" xfId="2" applyFont="1" applyFill="1" applyBorder="1" applyAlignment="1">
      <alignment horizontal="center" vertical="center" wrapText="1"/>
    </xf>
    <xf numFmtId="0" fontId="9" fillId="7" borderId="39" xfId="2" applyFont="1" applyFill="1" applyBorder="1" applyAlignment="1">
      <alignment horizontal="center" vertical="center" wrapText="1"/>
    </xf>
    <xf numFmtId="0" fontId="26" fillId="4" borderId="32" xfId="0" applyFont="1" applyFill="1" applyBorder="1" applyAlignment="1">
      <alignment horizontal="center" vertical="center"/>
    </xf>
    <xf numFmtId="0" fontId="33" fillId="4" borderId="32" xfId="13" applyFill="1" applyBorder="1" applyAlignment="1">
      <alignment horizontal="left" vertical="center" wrapText="1"/>
    </xf>
    <xf numFmtId="44" fontId="22" fillId="3" borderId="17" xfId="9" applyFont="1" applyFill="1" applyBorder="1" applyAlignment="1">
      <alignment horizontal="center" vertical="center"/>
    </xf>
    <xf numFmtId="0" fontId="26" fillId="4" borderId="32" xfId="0" applyFont="1" applyFill="1" applyBorder="1" applyAlignment="1">
      <alignment horizontal="center" vertical="center" wrapText="1"/>
    </xf>
    <xf numFmtId="0" fontId="25" fillId="4" borderId="32" xfId="0" applyFont="1" applyFill="1" applyBorder="1" applyAlignment="1">
      <alignment horizontal="left" vertical="center" wrapText="1"/>
    </xf>
    <xf numFmtId="0" fontId="9" fillId="7" borderId="0" xfId="2" applyFont="1" applyFill="1" applyAlignment="1">
      <alignment horizontal="center" vertical="center" wrapText="1"/>
    </xf>
    <xf numFmtId="0" fontId="38" fillId="14" borderId="2" xfId="0" applyFont="1" applyFill="1" applyBorder="1" applyAlignment="1">
      <alignment horizontal="right" vertical="top" wrapText="1"/>
    </xf>
    <xf numFmtId="0" fontId="38" fillId="7" borderId="2" xfId="0" applyFont="1" applyFill="1" applyBorder="1" applyAlignment="1">
      <alignment horizontal="right" vertical="top" wrapText="1"/>
    </xf>
    <xf numFmtId="0" fontId="9" fillId="7" borderId="29" xfId="2" applyFont="1" applyFill="1" applyBorder="1" applyAlignment="1">
      <alignment horizontal="center" vertical="center" wrapText="1"/>
    </xf>
    <xf numFmtId="0" fontId="16"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7" borderId="0" xfId="0" applyFill="1" applyAlignment="1">
      <alignment horizontal="center" vertical="center"/>
    </xf>
    <xf numFmtId="0" fontId="0" fillId="7" borderId="0" xfId="0" applyFill="1" applyAlignment="1">
      <alignment vertical="center"/>
    </xf>
  </cellXfs>
  <cellStyles count="21">
    <cellStyle name="Excel Built-in Normal" xfId="4" xr:uid="{00000000-0005-0000-0000-000000000000}"/>
    <cellStyle name="Hiperlink" xfId="13" builtinId="8"/>
    <cellStyle name="Moeda" xfId="9" builtinId="4"/>
    <cellStyle name="Moeda 2" xfId="20" xr:uid="{35B45278-F456-41CA-B4F2-959B6130A07A}"/>
    <cellStyle name="Moeda_Composicao BDI v2.1" xfId="12" xr:uid="{00000000-0005-0000-0000-000003000000}"/>
    <cellStyle name="Normal" xfId="0" builtinId="0"/>
    <cellStyle name="Normal 2" xfId="2" xr:uid="{00000000-0005-0000-0000-000005000000}"/>
    <cellStyle name="Normal_FICHA DE VERIFICAÇÃO PRELIMINAR - Plano R" xfId="11" xr:uid="{00000000-0005-0000-0000-000006000000}"/>
    <cellStyle name="Porcentagem" xfId="10" builtinId="5"/>
    <cellStyle name="Vírgula" xfId="1" builtinId="3"/>
    <cellStyle name="Vírgula 2" xfId="5" xr:uid="{00000000-0005-0000-0000-00000A000000}"/>
    <cellStyle name="Vírgula 2 2" xfId="16" xr:uid="{7ECEB469-D55A-4394-8F43-B670F5EC9790}"/>
    <cellStyle name="Vírgula 3" xfId="14" xr:uid="{A4464E9A-D200-48A9-9808-3263ADD1841A}"/>
    <cellStyle name="Vírgula 3 2" xfId="8" xr:uid="{00000000-0005-0000-0000-00000B000000}"/>
    <cellStyle name="Vírgula 3 2 2" xfId="19" xr:uid="{4F079FB8-085B-44CB-A030-B2B3C7E15C89}"/>
    <cellStyle name="Vírgula 4" xfId="7" xr:uid="{00000000-0005-0000-0000-00000C000000}"/>
    <cellStyle name="Vírgula 4 2" xfId="18" xr:uid="{DE17E189-5986-47DA-896D-BDE7E8502AA0}"/>
    <cellStyle name="Vírgula 5" xfId="3" xr:uid="{00000000-0005-0000-0000-00000D000000}"/>
    <cellStyle name="Vírgula 5 2" xfId="6" xr:uid="{00000000-0005-0000-0000-00000E000000}"/>
    <cellStyle name="Vírgula 5 2 2" xfId="17" xr:uid="{97A13BDC-9DA3-44B2-AB7C-1332C1E0BE7A}"/>
    <cellStyle name="Vírgula 5 3" xfId="15" xr:uid="{556049CD-40E0-4FB9-BAF0-D2B30CA8C95F}"/>
  </cellStyles>
  <dxfs count="10">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
      <font>
        <b/>
        <i val="0"/>
        <condense val="0"/>
        <extend val="0"/>
        <color indexed="9"/>
      </font>
      <fill>
        <patternFill patternType="none">
          <fgColor indexed="64"/>
          <bgColor indexed="65"/>
        </patternFill>
      </fill>
      <border>
        <left/>
        <right/>
        <top style="thin">
          <color indexed="64"/>
        </top>
        <bottom/>
      </border>
    </dxf>
    <dxf>
      <font>
        <condense val="0"/>
        <extend val="0"/>
        <color indexed="9"/>
      </font>
    </dxf>
    <dxf>
      <font>
        <condense val="0"/>
        <extend val="0"/>
        <color indexed="9"/>
      </font>
    </dxf>
  </dxfs>
  <tableStyles count="0" defaultTableStyle="TableStyleMedium2" defaultPivotStyle="PivotStyleLight16"/>
  <colors>
    <mruColors>
      <color rgb="FFFFFF99"/>
      <color rgb="FF66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OR&#199;AMENTO!M13"/><Relationship Id="rId2" Type="http://schemas.openxmlformats.org/officeDocument/2006/relationships/hyperlink" Target="#Menu!E6"/><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9</xdr:col>
      <xdr:colOff>30480</xdr:colOff>
      <xdr:row>0</xdr:row>
      <xdr:rowOff>15240</xdr:rowOff>
    </xdr:from>
    <xdr:to>
      <xdr:col>11</xdr:col>
      <xdr:colOff>403860</xdr:colOff>
      <xdr:row>2</xdr:row>
      <xdr:rowOff>38100</xdr:rowOff>
    </xdr:to>
    <xdr:pic>
      <xdr:nvPicPr>
        <xdr:cNvPr id="5" name="Logo1">
          <a:extLst>
            <a:ext uri="{FF2B5EF4-FFF2-40B4-BE49-F238E27FC236}">
              <a16:creationId xmlns:a16="http://schemas.microsoft.com/office/drawing/2014/main" id="{ADFF7F9A-2C0D-46DF-A9DE-D08E4F7F4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3460" y="15240"/>
          <a:ext cx="1836420" cy="3886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287020</xdr:colOff>
      <xdr:row>1</xdr:row>
      <xdr:rowOff>30903</xdr:rowOff>
    </xdr:from>
    <xdr:to>
      <xdr:col>8</xdr:col>
      <xdr:colOff>138854</xdr:colOff>
      <xdr:row>3</xdr:row>
      <xdr:rowOff>8555</xdr:rowOff>
    </xdr:to>
    <xdr:sp macro="" textlink="" fLocksText="0">
      <xdr:nvSpPr>
        <xdr:cNvPr id="6" name="AutoShape 67">
          <a:hlinkClick xmlns:r="http://schemas.openxmlformats.org/officeDocument/2006/relationships" r:id="rId2"/>
          <a:extLst>
            <a:ext uri="{FF2B5EF4-FFF2-40B4-BE49-F238E27FC236}">
              <a16:creationId xmlns:a16="http://schemas.microsoft.com/office/drawing/2014/main" id="{7683BB54-75C0-4EF7-AD32-6EB8846AC580}"/>
            </a:ext>
          </a:extLst>
        </xdr:cNvPr>
        <xdr:cNvSpPr>
          <a:spLocks noChangeArrowheads="1"/>
        </xdr:cNvSpPr>
      </xdr:nvSpPr>
      <xdr:spPr bwMode="auto">
        <a:xfrm>
          <a:off x="287020" y="229023"/>
          <a:ext cx="583354" cy="312932"/>
        </a:xfrm>
        <a:prstGeom prst="roundRect">
          <a:avLst>
            <a:gd name="adj" fmla="val 16667"/>
          </a:avLst>
        </a:prstGeom>
        <a:solidFill>
          <a:srgbClr val="99CCFF"/>
        </a:solidFill>
        <a:ln w="9360">
          <a:solidFill>
            <a:srgbClr val="80808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a:rPr>
            <a:t>MENU</a:t>
          </a:r>
        </a:p>
      </xdr:txBody>
    </xdr:sp>
    <xdr:clientData/>
  </xdr:twoCellAnchor>
  <xdr:twoCellAnchor>
    <xdr:from>
      <xdr:col>7</xdr:col>
      <xdr:colOff>287019</xdr:colOff>
      <xdr:row>3</xdr:row>
      <xdr:rowOff>57150</xdr:rowOff>
    </xdr:from>
    <xdr:to>
      <xdr:col>8</xdr:col>
      <xdr:colOff>138853</xdr:colOff>
      <xdr:row>5</xdr:row>
      <xdr:rowOff>42333</xdr:rowOff>
    </xdr:to>
    <xdr:sp macro="" textlink="" fLocksText="0">
      <xdr:nvSpPr>
        <xdr:cNvPr id="7" name="AutoShape 67">
          <a:hlinkClick xmlns:r="http://schemas.openxmlformats.org/officeDocument/2006/relationships" r:id="rId3"/>
          <a:extLst>
            <a:ext uri="{FF2B5EF4-FFF2-40B4-BE49-F238E27FC236}">
              <a16:creationId xmlns:a16="http://schemas.microsoft.com/office/drawing/2014/main" id="{7F7D179D-3941-4BB3-A2B3-57652C29720B}"/>
            </a:ext>
          </a:extLst>
        </xdr:cNvPr>
        <xdr:cNvSpPr>
          <a:spLocks noChangeArrowheads="1"/>
        </xdr:cNvSpPr>
      </xdr:nvSpPr>
      <xdr:spPr bwMode="auto">
        <a:xfrm>
          <a:off x="287019" y="590550"/>
          <a:ext cx="583354" cy="312843"/>
        </a:xfrm>
        <a:prstGeom prst="roundRect">
          <a:avLst>
            <a:gd name="adj" fmla="val 16667"/>
          </a:avLst>
        </a:prstGeom>
        <a:solidFill>
          <a:srgbClr val="99CCFF"/>
        </a:solidFill>
        <a:ln w="9360">
          <a:solidFill>
            <a:srgbClr val="80808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panose="020F0502020204030204" pitchFamily="34" charset="0"/>
            </a:rPr>
            <a:t>→</a:t>
          </a:r>
          <a:endParaRPr lang="pt-BR" sz="1100" b="1" i="0" u="none" strike="noStrike" baseline="0">
            <a:solidFill>
              <a:srgbClr val="000000"/>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510540</xdr:colOff>
      <xdr:row>55</xdr:row>
      <xdr:rowOff>83820</xdr:rowOff>
    </xdr:from>
    <xdr:to>
      <xdr:col>2</xdr:col>
      <xdr:colOff>3812540</xdr:colOff>
      <xdr:row>69</xdr:row>
      <xdr:rowOff>121920</xdr:rowOff>
    </xdr:to>
    <xdr:pic>
      <xdr:nvPicPr>
        <xdr:cNvPr id="2" name="Imagem 1">
          <a:extLst>
            <a:ext uri="{FF2B5EF4-FFF2-40B4-BE49-F238E27FC236}">
              <a16:creationId xmlns:a16="http://schemas.microsoft.com/office/drawing/2014/main" id="{EB033076-6EBB-3119-06D7-170E4D9D5B4E}"/>
            </a:ext>
          </a:extLst>
        </xdr:cNvPr>
        <xdr:cNvPicPr>
          <a:picLocks noChangeAspect="1"/>
        </xdr:cNvPicPr>
      </xdr:nvPicPr>
      <xdr:blipFill>
        <a:blip xmlns:r="http://schemas.openxmlformats.org/officeDocument/2006/relationships" r:embed="rId1"/>
        <a:stretch>
          <a:fillRect/>
        </a:stretch>
      </xdr:blipFill>
      <xdr:spPr>
        <a:xfrm>
          <a:off x="510540" y="11391900"/>
          <a:ext cx="4429760" cy="2491740"/>
        </a:xfrm>
        <a:prstGeom prst="rect">
          <a:avLst/>
        </a:prstGeom>
      </xdr:spPr>
    </xdr:pic>
    <xdr:clientData/>
  </xdr:twoCellAnchor>
  <xdr:twoCellAnchor editAs="oneCell">
    <xdr:from>
      <xdr:col>2</xdr:col>
      <xdr:colOff>3763433</xdr:colOff>
      <xdr:row>32</xdr:row>
      <xdr:rowOff>60960</xdr:rowOff>
    </xdr:from>
    <xdr:to>
      <xdr:col>6</xdr:col>
      <xdr:colOff>1068492</xdr:colOff>
      <xdr:row>46</xdr:row>
      <xdr:rowOff>30480</xdr:rowOff>
    </xdr:to>
    <xdr:pic>
      <xdr:nvPicPr>
        <xdr:cNvPr id="3" name="Imagem 2">
          <a:extLst>
            <a:ext uri="{FF2B5EF4-FFF2-40B4-BE49-F238E27FC236}">
              <a16:creationId xmlns:a16="http://schemas.microsoft.com/office/drawing/2014/main" id="{47155D07-CF40-179A-5B1C-CB4EEE90E037}"/>
            </a:ext>
          </a:extLst>
        </xdr:cNvPr>
        <xdr:cNvPicPr>
          <a:picLocks noChangeAspect="1"/>
        </xdr:cNvPicPr>
      </xdr:nvPicPr>
      <xdr:blipFill>
        <a:blip xmlns:r="http://schemas.openxmlformats.org/officeDocument/2006/relationships" r:embed="rId2"/>
        <a:stretch>
          <a:fillRect/>
        </a:stretch>
      </xdr:blipFill>
      <xdr:spPr>
        <a:xfrm>
          <a:off x="4891193" y="7338060"/>
          <a:ext cx="4307839" cy="2423160"/>
        </a:xfrm>
        <a:prstGeom prst="rect">
          <a:avLst/>
        </a:prstGeom>
      </xdr:spPr>
    </xdr:pic>
    <xdr:clientData/>
  </xdr:twoCellAnchor>
  <xdr:twoCellAnchor editAs="oneCell">
    <xdr:from>
      <xdr:col>0</xdr:col>
      <xdr:colOff>241302</xdr:colOff>
      <xdr:row>32</xdr:row>
      <xdr:rowOff>30479</xdr:rowOff>
    </xdr:from>
    <xdr:to>
      <xdr:col>2</xdr:col>
      <xdr:colOff>3543304</xdr:colOff>
      <xdr:row>46</xdr:row>
      <xdr:rowOff>68580</xdr:rowOff>
    </xdr:to>
    <xdr:pic>
      <xdr:nvPicPr>
        <xdr:cNvPr id="4" name="Imagem 3">
          <a:extLst>
            <a:ext uri="{FF2B5EF4-FFF2-40B4-BE49-F238E27FC236}">
              <a16:creationId xmlns:a16="http://schemas.microsoft.com/office/drawing/2014/main" id="{39689C4B-9DA5-3CE1-1E5F-A695C36A452C}"/>
            </a:ext>
          </a:extLst>
        </xdr:cNvPr>
        <xdr:cNvPicPr>
          <a:picLocks noChangeAspect="1"/>
        </xdr:cNvPicPr>
      </xdr:nvPicPr>
      <xdr:blipFill>
        <a:blip xmlns:r="http://schemas.openxmlformats.org/officeDocument/2006/relationships" r:embed="rId3"/>
        <a:stretch>
          <a:fillRect/>
        </a:stretch>
      </xdr:blipFill>
      <xdr:spPr>
        <a:xfrm>
          <a:off x="241302" y="7307579"/>
          <a:ext cx="4429762" cy="24917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8</xdr:row>
      <xdr:rowOff>91440</xdr:rowOff>
    </xdr:from>
    <xdr:to>
      <xdr:col>14</xdr:col>
      <xdr:colOff>563880</xdr:colOff>
      <xdr:row>74</xdr:row>
      <xdr:rowOff>106680</xdr:rowOff>
    </xdr:to>
    <xdr:pic>
      <xdr:nvPicPr>
        <xdr:cNvPr id="2" name="Imagem 1">
          <a:extLst>
            <a:ext uri="{FF2B5EF4-FFF2-40B4-BE49-F238E27FC236}">
              <a16:creationId xmlns:a16="http://schemas.microsoft.com/office/drawing/2014/main" id="{E1BFC28A-C716-C36D-549A-1DCF43D3A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1592580"/>
          <a:ext cx="9014460" cy="1208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579120</xdr:colOff>
      <xdr:row>20</xdr:row>
      <xdr:rowOff>106680</xdr:rowOff>
    </xdr:from>
    <xdr:to>
      <xdr:col>14</xdr:col>
      <xdr:colOff>335280</xdr:colOff>
      <xdr:row>72</xdr:row>
      <xdr:rowOff>0</xdr:rowOff>
    </xdr:to>
    <xdr:sp macro="" textlink="">
      <xdr:nvSpPr>
        <xdr:cNvPr id="3" name="Retângulo 2">
          <a:extLst>
            <a:ext uri="{FF2B5EF4-FFF2-40B4-BE49-F238E27FC236}">
              <a16:creationId xmlns:a16="http://schemas.microsoft.com/office/drawing/2014/main" id="{4998B27E-8D3D-911F-6F0E-D593E14E8C63}"/>
            </a:ext>
          </a:extLst>
        </xdr:cNvPr>
        <xdr:cNvSpPr/>
      </xdr:nvSpPr>
      <xdr:spPr>
        <a:xfrm>
          <a:off x="6675120" y="3802380"/>
          <a:ext cx="2194560" cy="940308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cretaria%20de%20Obras/Desktop/TABELAS%20SINAPI,%20SEINFRA,%20COMPESA/PLANILHA%20M&#218;LTIPLA%20V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ildo%20JR/Desktop/PREFEITURA%20%20STA%20CRUZ/PLANILHA_MULTIPLA_V3_05/PLANILHA_MULTIPLA_V3_05/PLANILHA%20M&#218;LTIPLA%20V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8\Luiz%20Augusto\TORITAMA\SINAPI%20-%202018\PLANILHA_MULTIPLA_V3_02\PLANILHA%20M&#218;LTIPLA%20V3.0.2_02-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IVERSOS\2019\TORITAMA\SEC%20EDUCA&#199;&#195;O\PLANILHA%20M&#218;LTIPLA%20V3.0.2_02-2018%20AR%20CONDICION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5"/>
    </sheetNames>
    <sheetDataSet>
      <sheetData sheetId="0" refreshError="1"/>
      <sheetData sheetId="1" refreshError="1">
        <row r="25">
          <cell r="F25">
            <v>43235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efreshError="1"/>
      <sheetData sheetId="1" refreshError="1">
        <row r="18">
          <cell r="F18" t="str">
            <v>DESONERADO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_CÁLCULOS"/>
      <sheetName val="ANEXO-2-BDI NÃO DESONERADO"/>
      <sheetName val="ANEXO-3_COMPOSIÇÕES"/>
      <sheetName val="ANEXO-4_COTAÇÕES"/>
      <sheetName val="ANEXO-5_ORÇAMENTO"/>
      <sheetName val="ANEXO-6 CRONOGRAMA"/>
      <sheetName val="ANEXO-7_CURVA ABC"/>
      <sheetName val="ANEXO-8 ENCARGOS SOCIAIS DE REF"/>
      <sheetName val="BDI"/>
      <sheetName val="Menu"/>
      <sheetName val="DADOS"/>
      <sheetName val="Novo"/>
      <sheetName val="ORÇAMENTO"/>
      <sheetName val="CÁLCULO"/>
    </sheetNames>
    <sheetDataSet>
      <sheetData sheetId="0"/>
      <sheetData sheetId="1">
        <row r="6">
          <cell r="F6">
            <v>7.400000000000001E-2</v>
          </cell>
        </row>
        <row r="7">
          <cell r="F7">
            <v>0.22120000000000001</v>
          </cell>
        </row>
        <row r="8">
          <cell r="F8">
            <v>4.0099999999999997E-2</v>
          </cell>
        </row>
        <row r="16">
          <cell r="F16"/>
        </row>
        <row r="17">
          <cell r="F17"/>
        </row>
        <row r="18">
          <cell r="G18"/>
        </row>
        <row r="22">
          <cell r="F22"/>
        </row>
        <row r="23">
          <cell r="F23"/>
        </row>
        <row r="24">
          <cell r="F24"/>
        </row>
      </sheetData>
      <sheetData sheetId="2"/>
      <sheetData sheetId="3"/>
      <sheetData sheetId="4"/>
      <sheetData sheetId="5"/>
      <sheetData sheetId="6"/>
      <sheetData sheetId="7"/>
      <sheetData sheetId="8">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row r="5">
          <cell r="F5" t="str">
            <v>PREFEITURA MUNICIPAL DE TORITAMA</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lista.mercadolivre.com.br/cerca-infantil-play-ground" TargetMode="External"/><Relationship Id="rId7" Type="http://schemas.openxmlformats.org/officeDocument/2006/relationships/printerSettings" Target="../printerSettings/printerSettings4.bin"/><Relationship Id="rId2" Type="http://schemas.openxmlformats.org/officeDocument/2006/relationships/hyperlink" Target="https://www.americanas.com.br/produto/6076073759?epar=bp_pl_00_go_br_d_14_n_comp_tk3&amp;opn=YSMESP&amp;WT.srch=1&amp;offerId=634063289064f2befb27f0b1&amp;gclsrc=aw.ds&amp;gclid=CjwKCAiA76-dBhByEiwAA0_s9a6Of6pIH0On5AU2PkCADHYYc9BV01lG0mwzzG3iHWXpnQ34C9Re4BoCpu0QAvD_BwE" TargetMode="External"/><Relationship Id="rId1" Type="http://schemas.openxmlformats.org/officeDocument/2006/relationships/hyperlink" Target="https://www.fantasyplay.com.br/cercadinho-tradicional-6-pecas-com-porta--freso.9946.html?gclid=CjwKCAiA76-dBhByEiwAA0_s9TAGxshIAbK-_DiJyokck1z6ei4Ws9k_fbgmGIFvWhG8F1MtDOA7fBoCQ2gQAvD_BwE" TargetMode="External"/><Relationship Id="rId6" Type="http://schemas.openxmlformats.org/officeDocument/2006/relationships/hyperlink" Target="https://www.multiplace.net.br/loja/1960_4_594_0/fantasyplay.html?busca=+freso" TargetMode="External"/><Relationship Id="rId5" Type="http://schemas.openxmlformats.org/officeDocument/2006/relationships/hyperlink" Target="https://www.mamibrinquedos.com.br/playground/miniplay-sapinho-2020-freso-ref-50001156?parceiro=8625&amp;gclid=EAIaIQobChMIiZWfx6bC_AIVDGuRCh32pQtQEAQYAiABEgL4Z_D_BwE" TargetMode="External"/><Relationship Id="rId4" Type="http://schemas.openxmlformats.org/officeDocument/2006/relationships/hyperlink" Target="https://www.fantasyplay.com.br/centro-de-atividades-duplo-ouro--freso.16554.html" TargetMode="External"/><Relationship Id="rId9"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59"/>
  <sheetViews>
    <sheetView zoomScale="110" zoomScaleNormal="110" workbookViewId="0">
      <selection activeCell="N7" sqref="N7"/>
    </sheetView>
  </sheetViews>
  <sheetFormatPr defaultRowHeight="10.199999999999999" x14ac:dyDescent="0.3"/>
  <cols>
    <col min="1" max="1" width="6.33203125" style="17" customWidth="1"/>
    <col min="2" max="3" width="12.44140625" style="17" customWidth="1"/>
    <col min="4" max="4" width="50.33203125" style="18" customWidth="1"/>
    <col min="5" max="5" width="9.109375" style="5"/>
    <col min="6" max="6" width="8.6640625" style="5" customWidth="1"/>
    <col min="7" max="7" width="9" style="5" bestFit="1" customWidth="1"/>
    <col min="8" max="8" width="6.5546875" style="5" customWidth="1"/>
    <col min="9" max="9" width="7.109375" style="5" customWidth="1"/>
    <col min="10" max="10" width="6" style="5" customWidth="1"/>
    <col min="11" max="11" width="11" style="5" customWidth="1"/>
    <col min="12" max="12" width="9.6640625" style="5" customWidth="1"/>
    <col min="13" max="13" width="9.109375" style="5" customWidth="1"/>
    <col min="14" max="14" width="8.88671875" style="5" customWidth="1"/>
    <col min="15" max="249" width="9.109375" style="5"/>
    <col min="250" max="250" width="4.44140625" style="5" customWidth="1"/>
    <col min="251" max="251" width="6.33203125" style="5" customWidth="1"/>
    <col min="252" max="252" width="12.44140625" style="5" customWidth="1"/>
    <col min="253" max="253" width="10.6640625" style="5" customWidth="1"/>
    <col min="254" max="254" width="72.6640625" style="5" customWidth="1"/>
    <col min="255" max="255" width="6.6640625" style="5" customWidth="1"/>
    <col min="256" max="256" width="12.109375" style="5" customWidth="1"/>
    <col min="257" max="257" width="13.44140625" style="5" customWidth="1"/>
    <col min="258" max="258" width="14.5546875" style="5" customWidth="1"/>
    <col min="259" max="260" width="9.109375" style="5"/>
    <col min="261" max="261" width="13.109375" style="5" bestFit="1" customWidth="1"/>
    <col min="262" max="505" width="9.109375" style="5"/>
    <col min="506" max="506" width="4.44140625" style="5" customWidth="1"/>
    <col min="507" max="507" width="6.33203125" style="5" customWidth="1"/>
    <col min="508" max="508" width="12.44140625" style="5" customWidth="1"/>
    <col min="509" max="509" width="10.6640625" style="5" customWidth="1"/>
    <col min="510" max="510" width="72.6640625" style="5" customWidth="1"/>
    <col min="511" max="511" width="6.6640625" style="5" customWidth="1"/>
    <col min="512" max="512" width="12.109375" style="5" customWidth="1"/>
    <col min="513" max="513" width="13.44140625" style="5" customWidth="1"/>
    <col min="514" max="514" width="14.5546875" style="5" customWidth="1"/>
    <col min="515" max="516" width="9.109375" style="5"/>
    <col min="517" max="517" width="13.109375" style="5" bestFit="1" customWidth="1"/>
    <col min="518" max="761" width="9.109375" style="5"/>
    <col min="762" max="762" width="4.44140625" style="5" customWidth="1"/>
    <col min="763" max="763" width="6.33203125" style="5" customWidth="1"/>
    <col min="764" max="764" width="12.44140625" style="5" customWidth="1"/>
    <col min="765" max="765" width="10.6640625" style="5" customWidth="1"/>
    <col min="766" max="766" width="72.6640625" style="5" customWidth="1"/>
    <col min="767" max="767" width="6.6640625" style="5" customWidth="1"/>
    <col min="768" max="768" width="12.109375" style="5" customWidth="1"/>
    <col min="769" max="769" width="13.44140625" style="5" customWidth="1"/>
    <col min="770" max="770" width="14.5546875" style="5" customWidth="1"/>
    <col min="771" max="772" width="9.109375" style="5"/>
    <col min="773" max="773" width="13.109375" style="5" bestFit="1" customWidth="1"/>
    <col min="774" max="1017" width="9.109375" style="5"/>
    <col min="1018" max="1018" width="4.44140625" style="5" customWidth="1"/>
    <col min="1019" max="1019" width="6.33203125" style="5" customWidth="1"/>
    <col min="1020" max="1020" width="12.44140625" style="5" customWidth="1"/>
    <col min="1021" max="1021" width="10.6640625" style="5" customWidth="1"/>
    <col min="1022" max="1022" width="72.6640625" style="5" customWidth="1"/>
    <col min="1023" max="1023" width="6.6640625" style="5" customWidth="1"/>
    <col min="1024" max="1024" width="12.109375" style="5" customWidth="1"/>
    <col min="1025" max="1025" width="13.44140625" style="5" customWidth="1"/>
    <col min="1026" max="1026" width="14.5546875" style="5" customWidth="1"/>
    <col min="1027" max="1028" width="9.109375" style="5"/>
    <col min="1029" max="1029" width="13.109375" style="5" bestFit="1" customWidth="1"/>
    <col min="1030" max="1273" width="9.109375" style="5"/>
    <col min="1274" max="1274" width="4.44140625" style="5" customWidth="1"/>
    <col min="1275" max="1275" width="6.33203125" style="5" customWidth="1"/>
    <col min="1276" max="1276" width="12.44140625" style="5" customWidth="1"/>
    <col min="1277" max="1277" width="10.6640625" style="5" customWidth="1"/>
    <col min="1278" max="1278" width="72.6640625" style="5" customWidth="1"/>
    <col min="1279" max="1279" width="6.6640625" style="5" customWidth="1"/>
    <col min="1280" max="1280" width="12.109375" style="5" customWidth="1"/>
    <col min="1281" max="1281" width="13.44140625" style="5" customWidth="1"/>
    <col min="1282" max="1282" width="14.5546875" style="5" customWidth="1"/>
    <col min="1283" max="1284" width="9.109375" style="5"/>
    <col min="1285" max="1285" width="13.109375" style="5" bestFit="1" customWidth="1"/>
    <col min="1286" max="1529" width="9.109375" style="5"/>
    <col min="1530" max="1530" width="4.44140625" style="5" customWidth="1"/>
    <col min="1531" max="1531" width="6.33203125" style="5" customWidth="1"/>
    <col min="1532" max="1532" width="12.44140625" style="5" customWidth="1"/>
    <col min="1533" max="1533" width="10.6640625" style="5" customWidth="1"/>
    <col min="1534" max="1534" width="72.6640625" style="5" customWidth="1"/>
    <col min="1535" max="1535" width="6.6640625" style="5" customWidth="1"/>
    <col min="1536" max="1536" width="12.109375" style="5" customWidth="1"/>
    <col min="1537" max="1537" width="13.44140625" style="5" customWidth="1"/>
    <col min="1538" max="1538" width="14.5546875" style="5" customWidth="1"/>
    <col min="1539" max="1540" width="9.109375" style="5"/>
    <col min="1541" max="1541" width="13.109375" style="5" bestFit="1" customWidth="1"/>
    <col min="1542" max="1785" width="9.109375" style="5"/>
    <col min="1786" max="1786" width="4.44140625" style="5" customWidth="1"/>
    <col min="1787" max="1787" width="6.33203125" style="5" customWidth="1"/>
    <col min="1788" max="1788" width="12.44140625" style="5" customWidth="1"/>
    <col min="1789" max="1789" width="10.6640625" style="5" customWidth="1"/>
    <col min="1790" max="1790" width="72.6640625" style="5" customWidth="1"/>
    <col min="1791" max="1791" width="6.6640625" style="5" customWidth="1"/>
    <col min="1792" max="1792" width="12.109375" style="5" customWidth="1"/>
    <col min="1793" max="1793" width="13.44140625" style="5" customWidth="1"/>
    <col min="1794" max="1794" width="14.5546875" style="5" customWidth="1"/>
    <col min="1795" max="1796" width="9.109375" style="5"/>
    <col min="1797" max="1797" width="13.109375" style="5" bestFit="1" customWidth="1"/>
    <col min="1798" max="2041" width="9.109375" style="5"/>
    <col min="2042" max="2042" width="4.44140625" style="5" customWidth="1"/>
    <col min="2043" max="2043" width="6.33203125" style="5" customWidth="1"/>
    <col min="2044" max="2044" width="12.44140625" style="5" customWidth="1"/>
    <col min="2045" max="2045" width="10.6640625" style="5" customWidth="1"/>
    <col min="2046" max="2046" width="72.6640625" style="5" customWidth="1"/>
    <col min="2047" max="2047" width="6.6640625" style="5" customWidth="1"/>
    <col min="2048" max="2048" width="12.109375" style="5" customWidth="1"/>
    <col min="2049" max="2049" width="13.44140625" style="5" customWidth="1"/>
    <col min="2050" max="2050" width="14.5546875" style="5" customWidth="1"/>
    <col min="2051" max="2052" width="9.109375" style="5"/>
    <col min="2053" max="2053" width="13.109375" style="5" bestFit="1" customWidth="1"/>
    <col min="2054" max="2297" width="9.109375" style="5"/>
    <col min="2298" max="2298" width="4.44140625" style="5" customWidth="1"/>
    <col min="2299" max="2299" width="6.33203125" style="5" customWidth="1"/>
    <col min="2300" max="2300" width="12.44140625" style="5" customWidth="1"/>
    <col min="2301" max="2301" width="10.6640625" style="5" customWidth="1"/>
    <col min="2302" max="2302" width="72.6640625" style="5" customWidth="1"/>
    <col min="2303" max="2303" width="6.6640625" style="5" customWidth="1"/>
    <col min="2304" max="2304" width="12.109375" style="5" customWidth="1"/>
    <col min="2305" max="2305" width="13.44140625" style="5" customWidth="1"/>
    <col min="2306" max="2306" width="14.5546875" style="5" customWidth="1"/>
    <col min="2307" max="2308" width="9.109375" style="5"/>
    <col min="2309" max="2309" width="13.109375" style="5" bestFit="1" customWidth="1"/>
    <col min="2310" max="2553" width="9.109375" style="5"/>
    <col min="2554" max="2554" width="4.44140625" style="5" customWidth="1"/>
    <col min="2555" max="2555" width="6.33203125" style="5" customWidth="1"/>
    <col min="2556" max="2556" width="12.44140625" style="5" customWidth="1"/>
    <col min="2557" max="2557" width="10.6640625" style="5" customWidth="1"/>
    <col min="2558" max="2558" width="72.6640625" style="5" customWidth="1"/>
    <col min="2559" max="2559" width="6.6640625" style="5" customWidth="1"/>
    <col min="2560" max="2560" width="12.109375" style="5" customWidth="1"/>
    <col min="2561" max="2561" width="13.44140625" style="5" customWidth="1"/>
    <col min="2562" max="2562" width="14.5546875" style="5" customWidth="1"/>
    <col min="2563" max="2564" width="9.109375" style="5"/>
    <col min="2565" max="2565" width="13.109375" style="5" bestFit="1" customWidth="1"/>
    <col min="2566" max="2809" width="9.109375" style="5"/>
    <col min="2810" max="2810" width="4.44140625" style="5" customWidth="1"/>
    <col min="2811" max="2811" width="6.33203125" style="5" customWidth="1"/>
    <col min="2812" max="2812" width="12.44140625" style="5" customWidth="1"/>
    <col min="2813" max="2813" width="10.6640625" style="5" customWidth="1"/>
    <col min="2814" max="2814" width="72.6640625" style="5" customWidth="1"/>
    <col min="2815" max="2815" width="6.6640625" style="5" customWidth="1"/>
    <col min="2816" max="2816" width="12.109375" style="5" customWidth="1"/>
    <col min="2817" max="2817" width="13.44140625" style="5" customWidth="1"/>
    <col min="2818" max="2818" width="14.5546875" style="5" customWidth="1"/>
    <col min="2819" max="2820" width="9.109375" style="5"/>
    <col min="2821" max="2821" width="13.109375" style="5" bestFit="1" customWidth="1"/>
    <col min="2822" max="3065" width="9.109375" style="5"/>
    <col min="3066" max="3066" width="4.44140625" style="5" customWidth="1"/>
    <col min="3067" max="3067" width="6.33203125" style="5" customWidth="1"/>
    <col min="3068" max="3068" width="12.44140625" style="5" customWidth="1"/>
    <col min="3069" max="3069" width="10.6640625" style="5" customWidth="1"/>
    <col min="3070" max="3070" width="72.6640625" style="5" customWidth="1"/>
    <col min="3071" max="3071" width="6.6640625" style="5" customWidth="1"/>
    <col min="3072" max="3072" width="12.109375" style="5" customWidth="1"/>
    <col min="3073" max="3073" width="13.44140625" style="5" customWidth="1"/>
    <col min="3074" max="3074" width="14.5546875" style="5" customWidth="1"/>
    <col min="3075" max="3076" width="9.109375" style="5"/>
    <col min="3077" max="3077" width="13.109375" style="5" bestFit="1" customWidth="1"/>
    <col min="3078" max="3321" width="9.109375" style="5"/>
    <col min="3322" max="3322" width="4.44140625" style="5" customWidth="1"/>
    <col min="3323" max="3323" width="6.33203125" style="5" customWidth="1"/>
    <col min="3324" max="3324" width="12.44140625" style="5" customWidth="1"/>
    <col min="3325" max="3325" width="10.6640625" style="5" customWidth="1"/>
    <col min="3326" max="3326" width="72.6640625" style="5" customWidth="1"/>
    <col min="3327" max="3327" width="6.6640625" style="5" customWidth="1"/>
    <col min="3328" max="3328" width="12.109375" style="5" customWidth="1"/>
    <col min="3329" max="3329" width="13.44140625" style="5" customWidth="1"/>
    <col min="3330" max="3330" width="14.5546875" style="5" customWidth="1"/>
    <col min="3331" max="3332" width="9.109375" style="5"/>
    <col min="3333" max="3333" width="13.109375" style="5" bestFit="1" customWidth="1"/>
    <col min="3334" max="3577" width="9.109375" style="5"/>
    <col min="3578" max="3578" width="4.44140625" style="5" customWidth="1"/>
    <col min="3579" max="3579" width="6.33203125" style="5" customWidth="1"/>
    <col min="3580" max="3580" width="12.44140625" style="5" customWidth="1"/>
    <col min="3581" max="3581" width="10.6640625" style="5" customWidth="1"/>
    <col min="3582" max="3582" width="72.6640625" style="5" customWidth="1"/>
    <col min="3583" max="3583" width="6.6640625" style="5" customWidth="1"/>
    <col min="3584" max="3584" width="12.109375" style="5" customWidth="1"/>
    <col min="3585" max="3585" width="13.44140625" style="5" customWidth="1"/>
    <col min="3586" max="3586" width="14.5546875" style="5" customWidth="1"/>
    <col min="3587" max="3588" width="9.109375" style="5"/>
    <col min="3589" max="3589" width="13.109375" style="5" bestFit="1" customWidth="1"/>
    <col min="3590" max="3833" width="9.109375" style="5"/>
    <col min="3834" max="3834" width="4.44140625" style="5" customWidth="1"/>
    <col min="3835" max="3835" width="6.33203125" style="5" customWidth="1"/>
    <col min="3836" max="3836" width="12.44140625" style="5" customWidth="1"/>
    <col min="3837" max="3837" width="10.6640625" style="5" customWidth="1"/>
    <col min="3838" max="3838" width="72.6640625" style="5" customWidth="1"/>
    <col min="3839" max="3839" width="6.6640625" style="5" customWidth="1"/>
    <col min="3840" max="3840" width="12.109375" style="5" customWidth="1"/>
    <col min="3841" max="3841" width="13.44140625" style="5" customWidth="1"/>
    <col min="3842" max="3842" width="14.5546875" style="5" customWidth="1"/>
    <col min="3843" max="3844" width="9.109375" style="5"/>
    <col min="3845" max="3845" width="13.109375" style="5" bestFit="1" customWidth="1"/>
    <col min="3846" max="4089" width="9.109375" style="5"/>
    <col min="4090" max="4090" width="4.44140625" style="5" customWidth="1"/>
    <col min="4091" max="4091" width="6.33203125" style="5" customWidth="1"/>
    <col min="4092" max="4092" width="12.44140625" style="5" customWidth="1"/>
    <col min="4093" max="4093" width="10.6640625" style="5" customWidth="1"/>
    <col min="4094" max="4094" width="72.6640625" style="5" customWidth="1"/>
    <col min="4095" max="4095" width="6.6640625" style="5" customWidth="1"/>
    <col min="4096" max="4096" width="12.109375" style="5" customWidth="1"/>
    <col min="4097" max="4097" width="13.44140625" style="5" customWidth="1"/>
    <col min="4098" max="4098" width="14.5546875" style="5" customWidth="1"/>
    <col min="4099" max="4100" width="9.109375" style="5"/>
    <col min="4101" max="4101" width="13.109375" style="5" bestFit="1" customWidth="1"/>
    <col min="4102" max="4345" width="9.109375" style="5"/>
    <col min="4346" max="4346" width="4.44140625" style="5" customWidth="1"/>
    <col min="4347" max="4347" width="6.33203125" style="5" customWidth="1"/>
    <col min="4348" max="4348" width="12.44140625" style="5" customWidth="1"/>
    <col min="4349" max="4349" width="10.6640625" style="5" customWidth="1"/>
    <col min="4350" max="4350" width="72.6640625" style="5" customWidth="1"/>
    <col min="4351" max="4351" width="6.6640625" style="5" customWidth="1"/>
    <col min="4352" max="4352" width="12.109375" style="5" customWidth="1"/>
    <col min="4353" max="4353" width="13.44140625" style="5" customWidth="1"/>
    <col min="4354" max="4354" width="14.5546875" style="5" customWidth="1"/>
    <col min="4355" max="4356" width="9.109375" style="5"/>
    <col min="4357" max="4357" width="13.109375" style="5" bestFit="1" customWidth="1"/>
    <col min="4358" max="4601" width="9.109375" style="5"/>
    <col min="4602" max="4602" width="4.44140625" style="5" customWidth="1"/>
    <col min="4603" max="4603" width="6.33203125" style="5" customWidth="1"/>
    <col min="4604" max="4604" width="12.44140625" style="5" customWidth="1"/>
    <col min="4605" max="4605" width="10.6640625" style="5" customWidth="1"/>
    <col min="4606" max="4606" width="72.6640625" style="5" customWidth="1"/>
    <col min="4607" max="4607" width="6.6640625" style="5" customWidth="1"/>
    <col min="4608" max="4608" width="12.109375" style="5" customWidth="1"/>
    <col min="4609" max="4609" width="13.44140625" style="5" customWidth="1"/>
    <col min="4610" max="4610" width="14.5546875" style="5" customWidth="1"/>
    <col min="4611" max="4612" width="9.109375" style="5"/>
    <col min="4613" max="4613" width="13.109375" style="5" bestFit="1" customWidth="1"/>
    <col min="4614" max="4857" width="9.109375" style="5"/>
    <col min="4858" max="4858" width="4.44140625" style="5" customWidth="1"/>
    <col min="4859" max="4859" width="6.33203125" style="5" customWidth="1"/>
    <col min="4860" max="4860" width="12.44140625" style="5" customWidth="1"/>
    <col min="4861" max="4861" width="10.6640625" style="5" customWidth="1"/>
    <col min="4862" max="4862" width="72.6640625" style="5" customWidth="1"/>
    <col min="4863" max="4863" width="6.6640625" style="5" customWidth="1"/>
    <col min="4864" max="4864" width="12.109375" style="5" customWidth="1"/>
    <col min="4865" max="4865" width="13.44140625" style="5" customWidth="1"/>
    <col min="4866" max="4866" width="14.5546875" style="5" customWidth="1"/>
    <col min="4867" max="4868" width="9.109375" style="5"/>
    <col min="4869" max="4869" width="13.109375" style="5" bestFit="1" customWidth="1"/>
    <col min="4870" max="5113" width="9.109375" style="5"/>
    <col min="5114" max="5114" width="4.44140625" style="5" customWidth="1"/>
    <col min="5115" max="5115" width="6.33203125" style="5" customWidth="1"/>
    <col min="5116" max="5116" width="12.44140625" style="5" customWidth="1"/>
    <col min="5117" max="5117" width="10.6640625" style="5" customWidth="1"/>
    <col min="5118" max="5118" width="72.6640625" style="5" customWidth="1"/>
    <col min="5119" max="5119" width="6.6640625" style="5" customWidth="1"/>
    <col min="5120" max="5120" width="12.109375" style="5" customWidth="1"/>
    <col min="5121" max="5121" width="13.44140625" style="5" customWidth="1"/>
    <col min="5122" max="5122" width="14.5546875" style="5" customWidth="1"/>
    <col min="5123" max="5124" width="9.109375" style="5"/>
    <col min="5125" max="5125" width="13.109375" style="5" bestFit="1" customWidth="1"/>
    <col min="5126" max="5369" width="9.109375" style="5"/>
    <col min="5370" max="5370" width="4.44140625" style="5" customWidth="1"/>
    <col min="5371" max="5371" width="6.33203125" style="5" customWidth="1"/>
    <col min="5372" max="5372" width="12.44140625" style="5" customWidth="1"/>
    <col min="5373" max="5373" width="10.6640625" style="5" customWidth="1"/>
    <col min="5374" max="5374" width="72.6640625" style="5" customWidth="1"/>
    <col min="5375" max="5375" width="6.6640625" style="5" customWidth="1"/>
    <col min="5376" max="5376" width="12.109375" style="5" customWidth="1"/>
    <col min="5377" max="5377" width="13.44140625" style="5" customWidth="1"/>
    <col min="5378" max="5378" width="14.5546875" style="5" customWidth="1"/>
    <col min="5379" max="5380" width="9.109375" style="5"/>
    <col min="5381" max="5381" width="13.109375" style="5" bestFit="1" customWidth="1"/>
    <col min="5382" max="5625" width="9.109375" style="5"/>
    <col min="5626" max="5626" width="4.44140625" style="5" customWidth="1"/>
    <col min="5627" max="5627" width="6.33203125" style="5" customWidth="1"/>
    <col min="5628" max="5628" width="12.44140625" style="5" customWidth="1"/>
    <col min="5629" max="5629" width="10.6640625" style="5" customWidth="1"/>
    <col min="5630" max="5630" width="72.6640625" style="5" customWidth="1"/>
    <col min="5631" max="5631" width="6.6640625" style="5" customWidth="1"/>
    <col min="5632" max="5632" width="12.109375" style="5" customWidth="1"/>
    <col min="5633" max="5633" width="13.44140625" style="5" customWidth="1"/>
    <col min="5634" max="5634" width="14.5546875" style="5" customWidth="1"/>
    <col min="5635" max="5636" width="9.109375" style="5"/>
    <col min="5637" max="5637" width="13.109375" style="5" bestFit="1" customWidth="1"/>
    <col min="5638" max="5881" width="9.109375" style="5"/>
    <col min="5882" max="5882" width="4.44140625" style="5" customWidth="1"/>
    <col min="5883" max="5883" width="6.33203125" style="5" customWidth="1"/>
    <col min="5884" max="5884" width="12.44140625" style="5" customWidth="1"/>
    <col min="5885" max="5885" width="10.6640625" style="5" customWidth="1"/>
    <col min="5886" max="5886" width="72.6640625" style="5" customWidth="1"/>
    <col min="5887" max="5887" width="6.6640625" style="5" customWidth="1"/>
    <col min="5888" max="5888" width="12.109375" style="5" customWidth="1"/>
    <col min="5889" max="5889" width="13.44140625" style="5" customWidth="1"/>
    <col min="5890" max="5890" width="14.5546875" style="5" customWidth="1"/>
    <col min="5891" max="5892" width="9.109375" style="5"/>
    <col min="5893" max="5893" width="13.109375" style="5" bestFit="1" customWidth="1"/>
    <col min="5894" max="6137" width="9.109375" style="5"/>
    <col min="6138" max="6138" width="4.44140625" style="5" customWidth="1"/>
    <col min="6139" max="6139" width="6.33203125" style="5" customWidth="1"/>
    <col min="6140" max="6140" width="12.44140625" style="5" customWidth="1"/>
    <col min="6141" max="6141" width="10.6640625" style="5" customWidth="1"/>
    <col min="6142" max="6142" width="72.6640625" style="5" customWidth="1"/>
    <col min="6143" max="6143" width="6.6640625" style="5" customWidth="1"/>
    <col min="6144" max="6144" width="12.109375" style="5" customWidth="1"/>
    <col min="6145" max="6145" width="13.44140625" style="5" customWidth="1"/>
    <col min="6146" max="6146" width="14.5546875" style="5" customWidth="1"/>
    <col min="6147" max="6148" width="9.109375" style="5"/>
    <col min="6149" max="6149" width="13.109375" style="5" bestFit="1" customWidth="1"/>
    <col min="6150" max="6393" width="9.109375" style="5"/>
    <col min="6394" max="6394" width="4.44140625" style="5" customWidth="1"/>
    <col min="6395" max="6395" width="6.33203125" style="5" customWidth="1"/>
    <col min="6396" max="6396" width="12.44140625" style="5" customWidth="1"/>
    <col min="6397" max="6397" width="10.6640625" style="5" customWidth="1"/>
    <col min="6398" max="6398" width="72.6640625" style="5" customWidth="1"/>
    <col min="6399" max="6399" width="6.6640625" style="5" customWidth="1"/>
    <col min="6400" max="6400" width="12.109375" style="5" customWidth="1"/>
    <col min="6401" max="6401" width="13.44140625" style="5" customWidth="1"/>
    <col min="6402" max="6402" width="14.5546875" style="5" customWidth="1"/>
    <col min="6403" max="6404" width="9.109375" style="5"/>
    <col min="6405" max="6405" width="13.109375" style="5" bestFit="1" customWidth="1"/>
    <col min="6406" max="6649" width="9.109375" style="5"/>
    <col min="6650" max="6650" width="4.44140625" style="5" customWidth="1"/>
    <col min="6651" max="6651" width="6.33203125" style="5" customWidth="1"/>
    <col min="6652" max="6652" width="12.44140625" style="5" customWidth="1"/>
    <col min="6653" max="6653" width="10.6640625" style="5" customWidth="1"/>
    <col min="6654" max="6654" width="72.6640625" style="5" customWidth="1"/>
    <col min="6655" max="6655" width="6.6640625" style="5" customWidth="1"/>
    <col min="6656" max="6656" width="12.109375" style="5" customWidth="1"/>
    <col min="6657" max="6657" width="13.44140625" style="5" customWidth="1"/>
    <col min="6658" max="6658" width="14.5546875" style="5" customWidth="1"/>
    <col min="6659" max="6660" width="9.109375" style="5"/>
    <col min="6661" max="6661" width="13.109375" style="5" bestFit="1" customWidth="1"/>
    <col min="6662" max="6905" width="9.109375" style="5"/>
    <col min="6906" max="6906" width="4.44140625" style="5" customWidth="1"/>
    <col min="6907" max="6907" width="6.33203125" style="5" customWidth="1"/>
    <col min="6908" max="6908" width="12.44140625" style="5" customWidth="1"/>
    <col min="6909" max="6909" width="10.6640625" style="5" customWidth="1"/>
    <col min="6910" max="6910" width="72.6640625" style="5" customWidth="1"/>
    <col min="6911" max="6911" width="6.6640625" style="5" customWidth="1"/>
    <col min="6912" max="6912" width="12.109375" style="5" customWidth="1"/>
    <col min="6913" max="6913" width="13.44140625" style="5" customWidth="1"/>
    <col min="6914" max="6914" width="14.5546875" style="5" customWidth="1"/>
    <col min="6915" max="6916" width="9.109375" style="5"/>
    <col min="6917" max="6917" width="13.109375" style="5" bestFit="1" customWidth="1"/>
    <col min="6918" max="7161" width="9.109375" style="5"/>
    <col min="7162" max="7162" width="4.44140625" style="5" customWidth="1"/>
    <col min="7163" max="7163" width="6.33203125" style="5" customWidth="1"/>
    <col min="7164" max="7164" width="12.44140625" style="5" customWidth="1"/>
    <col min="7165" max="7165" width="10.6640625" style="5" customWidth="1"/>
    <col min="7166" max="7166" width="72.6640625" style="5" customWidth="1"/>
    <col min="7167" max="7167" width="6.6640625" style="5" customWidth="1"/>
    <col min="7168" max="7168" width="12.109375" style="5" customWidth="1"/>
    <col min="7169" max="7169" width="13.44140625" style="5" customWidth="1"/>
    <col min="7170" max="7170" width="14.5546875" style="5" customWidth="1"/>
    <col min="7171" max="7172" width="9.109375" style="5"/>
    <col min="7173" max="7173" width="13.109375" style="5" bestFit="1" customWidth="1"/>
    <col min="7174" max="7417" width="9.109375" style="5"/>
    <col min="7418" max="7418" width="4.44140625" style="5" customWidth="1"/>
    <col min="7419" max="7419" width="6.33203125" style="5" customWidth="1"/>
    <col min="7420" max="7420" width="12.44140625" style="5" customWidth="1"/>
    <col min="7421" max="7421" width="10.6640625" style="5" customWidth="1"/>
    <col min="7422" max="7422" width="72.6640625" style="5" customWidth="1"/>
    <col min="7423" max="7423" width="6.6640625" style="5" customWidth="1"/>
    <col min="7424" max="7424" width="12.109375" style="5" customWidth="1"/>
    <col min="7425" max="7425" width="13.44140625" style="5" customWidth="1"/>
    <col min="7426" max="7426" width="14.5546875" style="5" customWidth="1"/>
    <col min="7427" max="7428" width="9.109375" style="5"/>
    <col min="7429" max="7429" width="13.109375" style="5" bestFit="1" customWidth="1"/>
    <col min="7430" max="7673" width="9.109375" style="5"/>
    <col min="7674" max="7674" width="4.44140625" style="5" customWidth="1"/>
    <col min="7675" max="7675" width="6.33203125" style="5" customWidth="1"/>
    <col min="7676" max="7676" width="12.44140625" style="5" customWidth="1"/>
    <col min="7677" max="7677" width="10.6640625" style="5" customWidth="1"/>
    <col min="7678" max="7678" width="72.6640625" style="5" customWidth="1"/>
    <col min="7679" max="7679" width="6.6640625" style="5" customWidth="1"/>
    <col min="7680" max="7680" width="12.109375" style="5" customWidth="1"/>
    <col min="7681" max="7681" width="13.44140625" style="5" customWidth="1"/>
    <col min="7682" max="7682" width="14.5546875" style="5" customWidth="1"/>
    <col min="7683" max="7684" width="9.109375" style="5"/>
    <col min="7685" max="7685" width="13.109375" style="5" bestFit="1" customWidth="1"/>
    <col min="7686" max="7929" width="9.109375" style="5"/>
    <col min="7930" max="7930" width="4.44140625" style="5" customWidth="1"/>
    <col min="7931" max="7931" width="6.33203125" style="5" customWidth="1"/>
    <col min="7932" max="7932" width="12.44140625" style="5" customWidth="1"/>
    <col min="7933" max="7933" width="10.6640625" style="5" customWidth="1"/>
    <col min="7934" max="7934" width="72.6640625" style="5" customWidth="1"/>
    <col min="7935" max="7935" width="6.6640625" style="5" customWidth="1"/>
    <col min="7936" max="7936" width="12.109375" style="5" customWidth="1"/>
    <col min="7937" max="7937" width="13.44140625" style="5" customWidth="1"/>
    <col min="7938" max="7938" width="14.5546875" style="5" customWidth="1"/>
    <col min="7939" max="7940" width="9.109375" style="5"/>
    <col min="7941" max="7941" width="13.109375" style="5" bestFit="1" customWidth="1"/>
    <col min="7942" max="8185" width="9.109375" style="5"/>
    <col min="8186" max="8186" width="4.44140625" style="5" customWidth="1"/>
    <col min="8187" max="8187" width="6.33203125" style="5" customWidth="1"/>
    <col min="8188" max="8188" width="12.44140625" style="5" customWidth="1"/>
    <col min="8189" max="8189" width="10.6640625" style="5" customWidth="1"/>
    <col min="8190" max="8190" width="72.6640625" style="5" customWidth="1"/>
    <col min="8191" max="8191" width="6.6640625" style="5" customWidth="1"/>
    <col min="8192" max="8192" width="12.109375" style="5" customWidth="1"/>
    <col min="8193" max="8193" width="13.44140625" style="5" customWidth="1"/>
    <col min="8194" max="8194" width="14.5546875" style="5" customWidth="1"/>
    <col min="8195" max="8196" width="9.109375" style="5"/>
    <col min="8197" max="8197" width="13.109375" style="5" bestFit="1" customWidth="1"/>
    <col min="8198" max="8441" width="9.109375" style="5"/>
    <col min="8442" max="8442" width="4.44140625" style="5" customWidth="1"/>
    <col min="8443" max="8443" width="6.33203125" style="5" customWidth="1"/>
    <col min="8444" max="8444" width="12.44140625" style="5" customWidth="1"/>
    <col min="8445" max="8445" width="10.6640625" style="5" customWidth="1"/>
    <col min="8446" max="8446" width="72.6640625" style="5" customWidth="1"/>
    <col min="8447" max="8447" width="6.6640625" style="5" customWidth="1"/>
    <col min="8448" max="8448" width="12.109375" style="5" customWidth="1"/>
    <col min="8449" max="8449" width="13.44140625" style="5" customWidth="1"/>
    <col min="8450" max="8450" width="14.5546875" style="5" customWidth="1"/>
    <col min="8451" max="8452" width="9.109375" style="5"/>
    <col min="8453" max="8453" width="13.109375" style="5" bestFit="1" customWidth="1"/>
    <col min="8454" max="8697" width="9.109375" style="5"/>
    <col min="8698" max="8698" width="4.44140625" style="5" customWidth="1"/>
    <col min="8699" max="8699" width="6.33203125" style="5" customWidth="1"/>
    <col min="8700" max="8700" width="12.44140625" style="5" customWidth="1"/>
    <col min="8701" max="8701" width="10.6640625" style="5" customWidth="1"/>
    <col min="8702" max="8702" width="72.6640625" style="5" customWidth="1"/>
    <col min="8703" max="8703" width="6.6640625" style="5" customWidth="1"/>
    <col min="8704" max="8704" width="12.109375" style="5" customWidth="1"/>
    <col min="8705" max="8705" width="13.44140625" style="5" customWidth="1"/>
    <col min="8706" max="8706" width="14.5546875" style="5" customWidth="1"/>
    <col min="8707" max="8708" width="9.109375" style="5"/>
    <col min="8709" max="8709" width="13.109375" style="5" bestFit="1" customWidth="1"/>
    <col min="8710" max="8953" width="9.109375" style="5"/>
    <col min="8954" max="8954" width="4.44140625" style="5" customWidth="1"/>
    <col min="8955" max="8955" width="6.33203125" style="5" customWidth="1"/>
    <col min="8956" max="8956" width="12.44140625" style="5" customWidth="1"/>
    <col min="8957" max="8957" width="10.6640625" style="5" customWidth="1"/>
    <col min="8958" max="8958" width="72.6640625" style="5" customWidth="1"/>
    <col min="8959" max="8959" width="6.6640625" style="5" customWidth="1"/>
    <col min="8960" max="8960" width="12.109375" style="5" customWidth="1"/>
    <col min="8961" max="8961" width="13.44140625" style="5" customWidth="1"/>
    <col min="8962" max="8962" width="14.5546875" style="5" customWidth="1"/>
    <col min="8963" max="8964" width="9.109375" style="5"/>
    <col min="8965" max="8965" width="13.109375" style="5" bestFit="1" customWidth="1"/>
    <col min="8966" max="9209" width="9.109375" style="5"/>
    <col min="9210" max="9210" width="4.44140625" style="5" customWidth="1"/>
    <col min="9211" max="9211" width="6.33203125" style="5" customWidth="1"/>
    <col min="9212" max="9212" width="12.44140625" style="5" customWidth="1"/>
    <col min="9213" max="9213" width="10.6640625" style="5" customWidth="1"/>
    <col min="9214" max="9214" width="72.6640625" style="5" customWidth="1"/>
    <col min="9215" max="9215" width="6.6640625" style="5" customWidth="1"/>
    <col min="9216" max="9216" width="12.109375" style="5" customWidth="1"/>
    <col min="9217" max="9217" width="13.44140625" style="5" customWidth="1"/>
    <col min="9218" max="9218" width="14.5546875" style="5" customWidth="1"/>
    <col min="9219" max="9220" width="9.109375" style="5"/>
    <col min="9221" max="9221" width="13.109375" style="5" bestFit="1" customWidth="1"/>
    <col min="9222" max="9465" width="9.109375" style="5"/>
    <col min="9466" max="9466" width="4.44140625" style="5" customWidth="1"/>
    <col min="9467" max="9467" width="6.33203125" style="5" customWidth="1"/>
    <col min="9468" max="9468" width="12.44140625" style="5" customWidth="1"/>
    <col min="9469" max="9469" width="10.6640625" style="5" customWidth="1"/>
    <col min="9470" max="9470" width="72.6640625" style="5" customWidth="1"/>
    <col min="9471" max="9471" width="6.6640625" style="5" customWidth="1"/>
    <col min="9472" max="9472" width="12.109375" style="5" customWidth="1"/>
    <col min="9473" max="9473" width="13.44140625" style="5" customWidth="1"/>
    <col min="9474" max="9474" width="14.5546875" style="5" customWidth="1"/>
    <col min="9475" max="9476" width="9.109375" style="5"/>
    <col min="9477" max="9477" width="13.109375" style="5" bestFit="1" customWidth="1"/>
    <col min="9478" max="9721" width="9.109375" style="5"/>
    <col min="9722" max="9722" width="4.44140625" style="5" customWidth="1"/>
    <col min="9723" max="9723" width="6.33203125" style="5" customWidth="1"/>
    <col min="9724" max="9724" width="12.44140625" style="5" customWidth="1"/>
    <col min="9725" max="9725" width="10.6640625" style="5" customWidth="1"/>
    <col min="9726" max="9726" width="72.6640625" style="5" customWidth="1"/>
    <col min="9727" max="9727" width="6.6640625" style="5" customWidth="1"/>
    <col min="9728" max="9728" width="12.109375" style="5" customWidth="1"/>
    <col min="9729" max="9729" width="13.44140625" style="5" customWidth="1"/>
    <col min="9730" max="9730" width="14.5546875" style="5" customWidth="1"/>
    <col min="9731" max="9732" width="9.109375" style="5"/>
    <col min="9733" max="9733" width="13.109375" style="5" bestFit="1" customWidth="1"/>
    <col min="9734" max="9977" width="9.109375" style="5"/>
    <col min="9978" max="9978" width="4.44140625" style="5" customWidth="1"/>
    <col min="9979" max="9979" width="6.33203125" style="5" customWidth="1"/>
    <col min="9980" max="9980" width="12.44140625" style="5" customWidth="1"/>
    <col min="9981" max="9981" width="10.6640625" style="5" customWidth="1"/>
    <col min="9982" max="9982" width="72.6640625" style="5" customWidth="1"/>
    <col min="9983" max="9983" width="6.6640625" style="5" customWidth="1"/>
    <col min="9984" max="9984" width="12.109375" style="5" customWidth="1"/>
    <col min="9985" max="9985" width="13.44140625" style="5" customWidth="1"/>
    <col min="9986" max="9986" width="14.5546875" style="5" customWidth="1"/>
    <col min="9987" max="9988" width="9.109375" style="5"/>
    <col min="9989" max="9989" width="13.109375" style="5" bestFit="1" customWidth="1"/>
    <col min="9990" max="10233" width="9.109375" style="5"/>
    <col min="10234" max="10234" width="4.44140625" style="5" customWidth="1"/>
    <col min="10235" max="10235" width="6.33203125" style="5" customWidth="1"/>
    <col min="10236" max="10236" width="12.44140625" style="5" customWidth="1"/>
    <col min="10237" max="10237" width="10.6640625" style="5" customWidth="1"/>
    <col min="10238" max="10238" width="72.6640625" style="5" customWidth="1"/>
    <col min="10239" max="10239" width="6.6640625" style="5" customWidth="1"/>
    <col min="10240" max="10240" width="12.109375" style="5" customWidth="1"/>
    <col min="10241" max="10241" width="13.44140625" style="5" customWidth="1"/>
    <col min="10242" max="10242" width="14.5546875" style="5" customWidth="1"/>
    <col min="10243" max="10244" width="9.109375" style="5"/>
    <col min="10245" max="10245" width="13.109375" style="5" bestFit="1" customWidth="1"/>
    <col min="10246" max="10489" width="9.109375" style="5"/>
    <col min="10490" max="10490" width="4.44140625" style="5" customWidth="1"/>
    <col min="10491" max="10491" width="6.33203125" style="5" customWidth="1"/>
    <col min="10492" max="10492" width="12.44140625" style="5" customWidth="1"/>
    <col min="10493" max="10493" width="10.6640625" style="5" customWidth="1"/>
    <col min="10494" max="10494" width="72.6640625" style="5" customWidth="1"/>
    <col min="10495" max="10495" width="6.6640625" style="5" customWidth="1"/>
    <col min="10496" max="10496" width="12.109375" style="5" customWidth="1"/>
    <col min="10497" max="10497" width="13.44140625" style="5" customWidth="1"/>
    <col min="10498" max="10498" width="14.5546875" style="5" customWidth="1"/>
    <col min="10499" max="10500" width="9.109375" style="5"/>
    <col min="10501" max="10501" width="13.109375" style="5" bestFit="1" customWidth="1"/>
    <col min="10502" max="10745" width="9.109375" style="5"/>
    <col min="10746" max="10746" width="4.44140625" style="5" customWidth="1"/>
    <col min="10747" max="10747" width="6.33203125" style="5" customWidth="1"/>
    <col min="10748" max="10748" width="12.44140625" style="5" customWidth="1"/>
    <col min="10749" max="10749" width="10.6640625" style="5" customWidth="1"/>
    <col min="10750" max="10750" width="72.6640625" style="5" customWidth="1"/>
    <col min="10751" max="10751" width="6.6640625" style="5" customWidth="1"/>
    <col min="10752" max="10752" width="12.109375" style="5" customWidth="1"/>
    <col min="10753" max="10753" width="13.44140625" style="5" customWidth="1"/>
    <col min="10754" max="10754" width="14.5546875" style="5" customWidth="1"/>
    <col min="10755" max="10756" width="9.109375" style="5"/>
    <col min="10757" max="10757" width="13.109375" style="5" bestFit="1" customWidth="1"/>
    <col min="10758" max="11001" width="9.109375" style="5"/>
    <col min="11002" max="11002" width="4.44140625" style="5" customWidth="1"/>
    <col min="11003" max="11003" width="6.33203125" style="5" customWidth="1"/>
    <col min="11004" max="11004" width="12.44140625" style="5" customWidth="1"/>
    <col min="11005" max="11005" width="10.6640625" style="5" customWidth="1"/>
    <col min="11006" max="11006" width="72.6640625" style="5" customWidth="1"/>
    <col min="11007" max="11007" width="6.6640625" style="5" customWidth="1"/>
    <col min="11008" max="11008" width="12.109375" style="5" customWidth="1"/>
    <col min="11009" max="11009" width="13.44140625" style="5" customWidth="1"/>
    <col min="11010" max="11010" width="14.5546875" style="5" customWidth="1"/>
    <col min="11011" max="11012" width="9.109375" style="5"/>
    <col min="11013" max="11013" width="13.109375" style="5" bestFit="1" customWidth="1"/>
    <col min="11014" max="11257" width="9.109375" style="5"/>
    <col min="11258" max="11258" width="4.44140625" style="5" customWidth="1"/>
    <col min="11259" max="11259" width="6.33203125" style="5" customWidth="1"/>
    <col min="11260" max="11260" width="12.44140625" style="5" customWidth="1"/>
    <col min="11261" max="11261" width="10.6640625" style="5" customWidth="1"/>
    <col min="11262" max="11262" width="72.6640625" style="5" customWidth="1"/>
    <col min="11263" max="11263" width="6.6640625" style="5" customWidth="1"/>
    <col min="11264" max="11264" width="12.109375" style="5" customWidth="1"/>
    <col min="11265" max="11265" width="13.44140625" style="5" customWidth="1"/>
    <col min="11266" max="11266" width="14.5546875" style="5" customWidth="1"/>
    <col min="11267" max="11268" width="9.109375" style="5"/>
    <col min="11269" max="11269" width="13.109375" style="5" bestFit="1" customWidth="1"/>
    <col min="11270" max="11513" width="9.109375" style="5"/>
    <col min="11514" max="11514" width="4.44140625" style="5" customWidth="1"/>
    <col min="11515" max="11515" width="6.33203125" style="5" customWidth="1"/>
    <col min="11516" max="11516" width="12.44140625" style="5" customWidth="1"/>
    <col min="11517" max="11517" width="10.6640625" style="5" customWidth="1"/>
    <col min="11518" max="11518" width="72.6640625" style="5" customWidth="1"/>
    <col min="11519" max="11519" width="6.6640625" style="5" customWidth="1"/>
    <col min="11520" max="11520" width="12.109375" style="5" customWidth="1"/>
    <col min="11521" max="11521" width="13.44140625" style="5" customWidth="1"/>
    <col min="11522" max="11522" width="14.5546875" style="5" customWidth="1"/>
    <col min="11523" max="11524" width="9.109375" style="5"/>
    <col min="11525" max="11525" width="13.109375" style="5" bestFit="1" customWidth="1"/>
    <col min="11526" max="11769" width="9.109375" style="5"/>
    <col min="11770" max="11770" width="4.44140625" style="5" customWidth="1"/>
    <col min="11771" max="11771" width="6.33203125" style="5" customWidth="1"/>
    <col min="11772" max="11772" width="12.44140625" style="5" customWidth="1"/>
    <col min="11773" max="11773" width="10.6640625" style="5" customWidth="1"/>
    <col min="11774" max="11774" width="72.6640625" style="5" customWidth="1"/>
    <col min="11775" max="11775" width="6.6640625" style="5" customWidth="1"/>
    <col min="11776" max="11776" width="12.109375" style="5" customWidth="1"/>
    <col min="11777" max="11777" width="13.44140625" style="5" customWidth="1"/>
    <col min="11778" max="11778" width="14.5546875" style="5" customWidth="1"/>
    <col min="11779" max="11780" width="9.109375" style="5"/>
    <col min="11781" max="11781" width="13.109375" style="5" bestFit="1" customWidth="1"/>
    <col min="11782" max="12025" width="9.109375" style="5"/>
    <col min="12026" max="12026" width="4.44140625" style="5" customWidth="1"/>
    <col min="12027" max="12027" width="6.33203125" style="5" customWidth="1"/>
    <col min="12028" max="12028" width="12.44140625" style="5" customWidth="1"/>
    <col min="12029" max="12029" width="10.6640625" style="5" customWidth="1"/>
    <col min="12030" max="12030" width="72.6640625" style="5" customWidth="1"/>
    <col min="12031" max="12031" width="6.6640625" style="5" customWidth="1"/>
    <col min="12032" max="12032" width="12.109375" style="5" customWidth="1"/>
    <col min="12033" max="12033" width="13.44140625" style="5" customWidth="1"/>
    <col min="12034" max="12034" width="14.5546875" style="5" customWidth="1"/>
    <col min="12035" max="12036" width="9.109375" style="5"/>
    <col min="12037" max="12037" width="13.109375" style="5" bestFit="1" customWidth="1"/>
    <col min="12038" max="12281" width="9.109375" style="5"/>
    <col min="12282" max="12282" width="4.44140625" style="5" customWidth="1"/>
    <col min="12283" max="12283" width="6.33203125" style="5" customWidth="1"/>
    <col min="12284" max="12284" width="12.44140625" style="5" customWidth="1"/>
    <col min="12285" max="12285" width="10.6640625" style="5" customWidth="1"/>
    <col min="12286" max="12286" width="72.6640625" style="5" customWidth="1"/>
    <col min="12287" max="12287" width="6.6640625" style="5" customWidth="1"/>
    <col min="12288" max="12288" width="12.109375" style="5" customWidth="1"/>
    <col min="12289" max="12289" width="13.44140625" style="5" customWidth="1"/>
    <col min="12290" max="12290" width="14.5546875" style="5" customWidth="1"/>
    <col min="12291" max="12292" width="9.109375" style="5"/>
    <col min="12293" max="12293" width="13.109375" style="5" bestFit="1" customWidth="1"/>
    <col min="12294" max="12537" width="9.109375" style="5"/>
    <col min="12538" max="12538" width="4.44140625" style="5" customWidth="1"/>
    <col min="12539" max="12539" width="6.33203125" style="5" customWidth="1"/>
    <col min="12540" max="12540" width="12.44140625" style="5" customWidth="1"/>
    <col min="12541" max="12541" width="10.6640625" style="5" customWidth="1"/>
    <col min="12542" max="12542" width="72.6640625" style="5" customWidth="1"/>
    <col min="12543" max="12543" width="6.6640625" style="5" customWidth="1"/>
    <col min="12544" max="12544" width="12.109375" style="5" customWidth="1"/>
    <col min="12545" max="12545" width="13.44140625" style="5" customWidth="1"/>
    <col min="12546" max="12546" width="14.5546875" style="5" customWidth="1"/>
    <col min="12547" max="12548" width="9.109375" style="5"/>
    <col min="12549" max="12549" width="13.109375" style="5" bestFit="1" customWidth="1"/>
    <col min="12550" max="12793" width="9.109375" style="5"/>
    <col min="12794" max="12794" width="4.44140625" style="5" customWidth="1"/>
    <col min="12795" max="12795" width="6.33203125" style="5" customWidth="1"/>
    <col min="12796" max="12796" width="12.44140625" style="5" customWidth="1"/>
    <col min="12797" max="12797" width="10.6640625" style="5" customWidth="1"/>
    <col min="12798" max="12798" width="72.6640625" style="5" customWidth="1"/>
    <col min="12799" max="12799" width="6.6640625" style="5" customWidth="1"/>
    <col min="12800" max="12800" width="12.109375" style="5" customWidth="1"/>
    <col min="12801" max="12801" width="13.44140625" style="5" customWidth="1"/>
    <col min="12802" max="12802" width="14.5546875" style="5" customWidth="1"/>
    <col min="12803" max="12804" width="9.109375" style="5"/>
    <col min="12805" max="12805" width="13.109375" style="5" bestFit="1" customWidth="1"/>
    <col min="12806" max="13049" width="9.109375" style="5"/>
    <col min="13050" max="13050" width="4.44140625" style="5" customWidth="1"/>
    <col min="13051" max="13051" width="6.33203125" style="5" customWidth="1"/>
    <col min="13052" max="13052" width="12.44140625" style="5" customWidth="1"/>
    <col min="13053" max="13053" width="10.6640625" style="5" customWidth="1"/>
    <col min="13054" max="13054" width="72.6640625" style="5" customWidth="1"/>
    <col min="13055" max="13055" width="6.6640625" style="5" customWidth="1"/>
    <col min="13056" max="13056" width="12.109375" style="5" customWidth="1"/>
    <col min="13057" max="13057" width="13.44140625" style="5" customWidth="1"/>
    <col min="13058" max="13058" width="14.5546875" style="5" customWidth="1"/>
    <col min="13059" max="13060" width="9.109375" style="5"/>
    <col min="13061" max="13061" width="13.109375" style="5" bestFit="1" customWidth="1"/>
    <col min="13062" max="13305" width="9.109375" style="5"/>
    <col min="13306" max="13306" width="4.44140625" style="5" customWidth="1"/>
    <col min="13307" max="13307" width="6.33203125" style="5" customWidth="1"/>
    <col min="13308" max="13308" width="12.44140625" style="5" customWidth="1"/>
    <col min="13309" max="13309" width="10.6640625" style="5" customWidth="1"/>
    <col min="13310" max="13310" width="72.6640625" style="5" customWidth="1"/>
    <col min="13311" max="13311" width="6.6640625" style="5" customWidth="1"/>
    <col min="13312" max="13312" width="12.109375" style="5" customWidth="1"/>
    <col min="13313" max="13313" width="13.44140625" style="5" customWidth="1"/>
    <col min="13314" max="13314" width="14.5546875" style="5" customWidth="1"/>
    <col min="13315" max="13316" width="9.109375" style="5"/>
    <col min="13317" max="13317" width="13.109375" style="5" bestFit="1" customWidth="1"/>
    <col min="13318" max="13561" width="9.109375" style="5"/>
    <col min="13562" max="13562" width="4.44140625" style="5" customWidth="1"/>
    <col min="13563" max="13563" width="6.33203125" style="5" customWidth="1"/>
    <col min="13564" max="13564" width="12.44140625" style="5" customWidth="1"/>
    <col min="13565" max="13565" width="10.6640625" style="5" customWidth="1"/>
    <col min="13566" max="13566" width="72.6640625" style="5" customWidth="1"/>
    <col min="13567" max="13567" width="6.6640625" style="5" customWidth="1"/>
    <col min="13568" max="13568" width="12.109375" style="5" customWidth="1"/>
    <col min="13569" max="13569" width="13.44140625" style="5" customWidth="1"/>
    <col min="13570" max="13570" width="14.5546875" style="5" customWidth="1"/>
    <col min="13571" max="13572" width="9.109375" style="5"/>
    <col min="13573" max="13573" width="13.109375" style="5" bestFit="1" customWidth="1"/>
    <col min="13574" max="13817" width="9.109375" style="5"/>
    <col min="13818" max="13818" width="4.44140625" style="5" customWidth="1"/>
    <col min="13819" max="13819" width="6.33203125" style="5" customWidth="1"/>
    <col min="13820" max="13820" width="12.44140625" style="5" customWidth="1"/>
    <col min="13821" max="13821" width="10.6640625" style="5" customWidth="1"/>
    <col min="13822" max="13822" width="72.6640625" style="5" customWidth="1"/>
    <col min="13823" max="13823" width="6.6640625" style="5" customWidth="1"/>
    <col min="13824" max="13824" width="12.109375" style="5" customWidth="1"/>
    <col min="13825" max="13825" width="13.44140625" style="5" customWidth="1"/>
    <col min="13826" max="13826" width="14.5546875" style="5" customWidth="1"/>
    <col min="13827" max="13828" width="9.109375" style="5"/>
    <col min="13829" max="13829" width="13.109375" style="5" bestFit="1" customWidth="1"/>
    <col min="13830" max="14073" width="9.109375" style="5"/>
    <col min="14074" max="14074" width="4.44140625" style="5" customWidth="1"/>
    <col min="14075" max="14075" width="6.33203125" style="5" customWidth="1"/>
    <col min="14076" max="14076" width="12.44140625" style="5" customWidth="1"/>
    <col min="14077" max="14077" width="10.6640625" style="5" customWidth="1"/>
    <col min="14078" max="14078" width="72.6640625" style="5" customWidth="1"/>
    <col min="14079" max="14079" width="6.6640625" style="5" customWidth="1"/>
    <col min="14080" max="14080" width="12.109375" style="5" customWidth="1"/>
    <col min="14081" max="14081" width="13.44140625" style="5" customWidth="1"/>
    <col min="14082" max="14082" width="14.5546875" style="5" customWidth="1"/>
    <col min="14083" max="14084" width="9.109375" style="5"/>
    <col min="14085" max="14085" width="13.109375" style="5" bestFit="1" customWidth="1"/>
    <col min="14086" max="14329" width="9.109375" style="5"/>
    <col min="14330" max="14330" width="4.44140625" style="5" customWidth="1"/>
    <col min="14331" max="14331" width="6.33203125" style="5" customWidth="1"/>
    <col min="14332" max="14332" width="12.44140625" style="5" customWidth="1"/>
    <col min="14333" max="14333" width="10.6640625" style="5" customWidth="1"/>
    <col min="14334" max="14334" width="72.6640625" style="5" customWidth="1"/>
    <col min="14335" max="14335" width="6.6640625" style="5" customWidth="1"/>
    <col min="14336" max="14336" width="12.109375" style="5" customWidth="1"/>
    <col min="14337" max="14337" width="13.44140625" style="5" customWidth="1"/>
    <col min="14338" max="14338" width="14.5546875" style="5" customWidth="1"/>
    <col min="14339" max="14340" width="9.109375" style="5"/>
    <col min="14341" max="14341" width="13.109375" style="5" bestFit="1" customWidth="1"/>
    <col min="14342" max="14585" width="9.109375" style="5"/>
    <col min="14586" max="14586" width="4.44140625" style="5" customWidth="1"/>
    <col min="14587" max="14587" width="6.33203125" style="5" customWidth="1"/>
    <col min="14588" max="14588" width="12.44140625" style="5" customWidth="1"/>
    <col min="14589" max="14589" width="10.6640625" style="5" customWidth="1"/>
    <col min="14590" max="14590" width="72.6640625" style="5" customWidth="1"/>
    <col min="14591" max="14591" width="6.6640625" style="5" customWidth="1"/>
    <col min="14592" max="14592" width="12.109375" style="5" customWidth="1"/>
    <col min="14593" max="14593" width="13.44140625" style="5" customWidth="1"/>
    <col min="14594" max="14594" width="14.5546875" style="5" customWidth="1"/>
    <col min="14595" max="14596" width="9.109375" style="5"/>
    <col min="14597" max="14597" width="13.109375" style="5" bestFit="1" customWidth="1"/>
    <col min="14598" max="14841" width="9.109375" style="5"/>
    <col min="14842" max="14842" width="4.44140625" style="5" customWidth="1"/>
    <col min="14843" max="14843" width="6.33203125" style="5" customWidth="1"/>
    <col min="14844" max="14844" width="12.44140625" style="5" customWidth="1"/>
    <col min="14845" max="14845" width="10.6640625" style="5" customWidth="1"/>
    <col min="14846" max="14846" width="72.6640625" style="5" customWidth="1"/>
    <col min="14847" max="14847" width="6.6640625" style="5" customWidth="1"/>
    <col min="14848" max="14848" width="12.109375" style="5" customWidth="1"/>
    <col min="14849" max="14849" width="13.44140625" style="5" customWidth="1"/>
    <col min="14850" max="14850" width="14.5546875" style="5" customWidth="1"/>
    <col min="14851" max="14852" width="9.109375" style="5"/>
    <col min="14853" max="14853" width="13.109375" style="5" bestFit="1" customWidth="1"/>
    <col min="14854" max="15097" width="9.109375" style="5"/>
    <col min="15098" max="15098" width="4.44140625" style="5" customWidth="1"/>
    <col min="15099" max="15099" width="6.33203125" style="5" customWidth="1"/>
    <col min="15100" max="15100" width="12.44140625" style="5" customWidth="1"/>
    <col min="15101" max="15101" width="10.6640625" style="5" customWidth="1"/>
    <col min="15102" max="15102" width="72.6640625" style="5" customWidth="1"/>
    <col min="15103" max="15103" width="6.6640625" style="5" customWidth="1"/>
    <col min="15104" max="15104" width="12.109375" style="5" customWidth="1"/>
    <col min="15105" max="15105" width="13.44140625" style="5" customWidth="1"/>
    <col min="15106" max="15106" width="14.5546875" style="5" customWidth="1"/>
    <col min="15107" max="15108" width="9.109375" style="5"/>
    <col min="15109" max="15109" width="13.109375" style="5" bestFit="1" customWidth="1"/>
    <col min="15110" max="15353" width="9.109375" style="5"/>
    <col min="15354" max="15354" width="4.44140625" style="5" customWidth="1"/>
    <col min="15355" max="15355" width="6.33203125" style="5" customWidth="1"/>
    <col min="15356" max="15356" width="12.44140625" style="5" customWidth="1"/>
    <col min="15357" max="15357" width="10.6640625" style="5" customWidth="1"/>
    <col min="15358" max="15358" width="72.6640625" style="5" customWidth="1"/>
    <col min="15359" max="15359" width="6.6640625" style="5" customWidth="1"/>
    <col min="15360" max="15360" width="12.109375" style="5" customWidth="1"/>
    <col min="15361" max="15361" width="13.44140625" style="5" customWidth="1"/>
    <col min="15362" max="15362" width="14.5546875" style="5" customWidth="1"/>
    <col min="15363" max="15364" width="9.109375" style="5"/>
    <col min="15365" max="15365" width="13.109375" style="5" bestFit="1" customWidth="1"/>
    <col min="15366" max="15609" width="9.109375" style="5"/>
    <col min="15610" max="15610" width="4.44140625" style="5" customWidth="1"/>
    <col min="15611" max="15611" width="6.33203125" style="5" customWidth="1"/>
    <col min="15612" max="15612" width="12.44140625" style="5" customWidth="1"/>
    <col min="15613" max="15613" width="10.6640625" style="5" customWidth="1"/>
    <col min="15614" max="15614" width="72.6640625" style="5" customWidth="1"/>
    <col min="15615" max="15615" width="6.6640625" style="5" customWidth="1"/>
    <col min="15616" max="15616" width="12.109375" style="5" customWidth="1"/>
    <col min="15617" max="15617" width="13.44140625" style="5" customWidth="1"/>
    <col min="15618" max="15618" width="14.5546875" style="5" customWidth="1"/>
    <col min="15619" max="15620" width="9.109375" style="5"/>
    <col min="15621" max="15621" width="13.109375" style="5" bestFit="1" customWidth="1"/>
    <col min="15622" max="15865" width="9.109375" style="5"/>
    <col min="15866" max="15866" width="4.44140625" style="5" customWidth="1"/>
    <col min="15867" max="15867" width="6.33203125" style="5" customWidth="1"/>
    <col min="15868" max="15868" width="12.44140625" style="5" customWidth="1"/>
    <col min="15869" max="15869" width="10.6640625" style="5" customWidth="1"/>
    <col min="15870" max="15870" width="72.6640625" style="5" customWidth="1"/>
    <col min="15871" max="15871" width="6.6640625" style="5" customWidth="1"/>
    <col min="15872" max="15872" width="12.109375" style="5" customWidth="1"/>
    <col min="15873" max="15873" width="13.44140625" style="5" customWidth="1"/>
    <col min="15874" max="15874" width="14.5546875" style="5" customWidth="1"/>
    <col min="15875" max="15876" width="9.109375" style="5"/>
    <col min="15877" max="15877" width="13.109375" style="5" bestFit="1" customWidth="1"/>
    <col min="15878" max="16121" width="9.109375" style="5"/>
    <col min="16122" max="16122" width="4.44140625" style="5" customWidth="1"/>
    <col min="16123" max="16123" width="6.33203125" style="5" customWidth="1"/>
    <col min="16124" max="16124" width="12.44140625" style="5" customWidth="1"/>
    <col min="16125" max="16125" width="10.6640625" style="5" customWidth="1"/>
    <col min="16126" max="16126" width="72.6640625" style="5" customWidth="1"/>
    <col min="16127" max="16127" width="6.6640625" style="5" customWidth="1"/>
    <col min="16128" max="16128" width="12.109375" style="5" customWidth="1"/>
    <col min="16129" max="16129" width="13.44140625" style="5" customWidth="1"/>
    <col min="16130" max="16130" width="14.5546875" style="5" customWidth="1"/>
    <col min="16131" max="16132" width="9.109375" style="5"/>
    <col min="16133" max="16133" width="13.109375" style="5" bestFit="1" customWidth="1"/>
    <col min="16134" max="16384" width="9.109375" style="5"/>
  </cols>
  <sheetData>
    <row r="1" spans="1:13" x14ac:dyDescent="0.3">
      <c r="A1" s="6"/>
      <c r="B1" s="6"/>
      <c r="C1" s="6"/>
      <c r="D1" s="6"/>
    </row>
    <row r="2" spans="1:13" ht="17.399999999999999" x14ac:dyDescent="0.3">
      <c r="A2" s="341" t="s">
        <v>123</v>
      </c>
      <c r="B2" s="341"/>
      <c r="C2" s="341"/>
      <c r="D2" s="341"/>
      <c r="E2" s="341"/>
      <c r="F2" s="341"/>
      <c r="G2" s="341"/>
      <c r="H2" s="341"/>
      <c r="I2" s="341"/>
      <c r="J2" s="341"/>
      <c r="K2" s="341"/>
    </row>
    <row r="3" spans="1:13" x14ac:dyDescent="0.3">
      <c r="A3" s="6"/>
      <c r="B3" s="6"/>
      <c r="C3" s="6"/>
      <c r="D3" s="6"/>
    </row>
    <row r="4" spans="1:13" ht="10.199999999999999" customHeight="1" x14ac:dyDescent="0.3">
      <c r="A4" s="117" t="s">
        <v>695</v>
      </c>
      <c r="B4" s="97"/>
      <c r="C4" s="119"/>
      <c r="D4" s="119"/>
      <c r="E4" s="111" t="s">
        <v>696</v>
      </c>
      <c r="F4" s="231"/>
      <c r="G4" s="231"/>
      <c r="H4" s="232"/>
      <c r="I4" s="233"/>
      <c r="J4" s="233"/>
      <c r="K4" s="233"/>
    </row>
    <row r="5" spans="1:13" ht="12" x14ac:dyDescent="0.3">
      <c r="A5" s="117" t="s">
        <v>697</v>
      </c>
      <c r="B5" s="97"/>
      <c r="C5" s="97"/>
      <c r="D5" s="118"/>
      <c r="E5" s="111" t="s">
        <v>687</v>
      </c>
      <c r="F5" s="234"/>
      <c r="G5" s="234"/>
      <c r="H5" s="232"/>
      <c r="I5" s="233"/>
      <c r="J5" s="233"/>
      <c r="K5" s="233"/>
    </row>
    <row r="6" spans="1:13" ht="11.25" customHeight="1" x14ac:dyDescent="0.3">
      <c r="A6" s="117" t="s">
        <v>698</v>
      </c>
      <c r="B6" s="97"/>
      <c r="C6" s="119"/>
      <c r="D6" s="118"/>
      <c r="E6" s="111" t="s">
        <v>699</v>
      </c>
      <c r="F6" s="234"/>
      <c r="G6" s="59"/>
      <c r="H6" s="232"/>
      <c r="I6" s="235"/>
      <c r="J6" s="58"/>
      <c r="K6" s="58"/>
    </row>
    <row r="7" spans="1:13" ht="12.75" customHeight="1" x14ac:dyDescent="0.3">
      <c r="A7" s="117" t="s">
        <v>700</v>
      </c>
      <c r="B7" s="97"/>
      <c r="C7" s="119"/>
      <c r="D7" s="118"/>
      <c r="E7" s="111" t="s">
        <v>701</v>
      </c>
      <c r="F7" s="234"/>
      <c r="G7" s="59"/>
      <c r="H7" s="232"/>
      <c r="I7" s="58"/>
      <c r="J7" s="58"/>
      <c r="K7" s="58"/>
    </row>
    <row r="8" spans="1:13" ht="12" x14ac:dyDescent="0.3">
      <c r="A8" s="236" t="s">
        <v>702</v>
      </c>
      <c r="B8" s="97"/>
      <c r="C8" s="119"/>
      <c r="D8" s="118"/>
      <c r="E8" s="236"/>
      <c r="F8" s="234"/>
      <c r="G8" s="237"/>
      <c r="H8" s="232"/>
      <c r="I8" s="58"/>
      <c r="J8" s="58"/>
      <c r="K8" s="58"/>
    </row>
    <row r="9" spans="1:13" ht="10.8" thickBot="1" x14ac:dyDescent="0.35">
      <c r="A9" s="3"/>
      <c r="B9" s="3"/>
      <c r="C9" s="1"/>
      <c r="D9" s="4"/>
      <c r="E9" s="2"/>
      <c r="F9" s="2"/>
      <c r="G9" s="2"/>
    </row>
    <row r="10" spans="1:13" ht="10.8" thickBot="1" x14ac:dyDescent="0.25">
      <c r="A10" s="7"/>
      <c r="B10" s="7"/>
      <c r="C10" s="7"/>
      <c r="D10" s="8"/>
      <c r="E10" s="9"/>
      <c r="F10" s="342" t="s">
        <v>35</v>
      </c>
      <c r="G10" s="343"/>
      <c r="H10" s="343"/>
      <c r="I10" s="343"/>
      <c r="J10" s="344"/>
      <c r="K10" s="340" t="s">
        <v>45</v>
      </c>
    </row>
    <row r="11" spans="1:13" ht="21" thickBot="1" x14ac:dyDescent="0.35">
      <c r="A11" s="100" t="s">
        <v>0</v>
      </c>
      <c r="B11" s="100" t="s">
        <v>1</v>
      </c>
      <c r="C11" s="100" t="s">
        <v>2</v>
      </c>
      <c r="D11" s="101" t="s">
        <v>3</v>
      </c>
      <c r="E11" s="102" t="s">
        <v>36</v>
      </c>
      <c r="F11" s="78" t="s">
        <v>37</v>
      </c>
      <c r="G11" s="79" t="s">
        <v>38</v>
      </c>
      <c r="H11" s="80" t="s">
        <v>39</v>
      </c>
      <c r="I11" s="80" t="s">
        <v>44</v>
      </c>
      <c r="J11" s="80" t="s">
        <v>40</v>
      </c>
      <c r="K11" s="340"/>
    </row>
    <row r="12" spans="1:13" x14ac:dyDescent="0.3">
      <c r="A12" s="103" t="s">
        <v>4</v>
      </c>
      <c r="B12" s="104"/>
      <c r="C12" s="104"/>
      <c r="D12" s="188" t="s">
        <v>5</v>
      </c>
      <c r="E12" s="104"/>
      <c r="F12" s="189"/>
      <c r="G12" s="189"/>
      <c r="H12" s="189"/>
      <c r="I12" s="189"/>
      <c r="J12" s="189"/>
      <c r="K12" s="190"/>
    </row>
    <row r="13" spans="1:13" ht="30.6" x14ac:dyDescent="0.3">
      <c r="A13" s="10" t="s">
        <v>6</v>
      </c>
      <c r="B13" s="153" t="s">
        <v>257</v>
      </c>
      <c r="C13" s="143" t="s">
        <v>7</v>
      </c>
      <c r="D13" s="158" t="s">
        <v>258</v>
      </c>
      <c r="E13" s="153" t="s">
        <v>126</v>
      </c>
      <c r="F13" s="155"/>
      <c r="G13" s="155"/>
      <c r="H13" s="155"/>
      <c r="I13" s="142"/>
      <c r="J13" s="142"/>
      <c r="K13" s="16">
        <f>K14</f>
        <v>31.145625000000003</v>
      </c>
      <c r="M13" s="5" t="s">
        <v>256</v>
      </c>
    </row>
    <row r="14" spans="1:13" ht="20.399999999999999" x14ac:dyDescent="0.3">
      <c r="A14" s="10"/>
      <c r="B14" s="153"/>
      <c r="C14" s="143"/>
      <c r="D14" s="158" t="s">
        <v>259</v>
      </c>
      <c r="E14" s="153"/>
      <c r="F14" s="155">
        <v>5.65</v>
      </c>
      <c r="G14" s="155">
        <v>7.35</v>
      </c>
      <c r="H14" s="155">
        <v>0.75</v>
      </c>
      <c r="I14" s="142"/>
      <c r="J14" s="142"/>
      <c r="K14" s="15">
        <f>F14*G14*H14</f>
        <v>31.145625000000003</v>
      </c>
    </row>
    <row r="15" spans="1:13" x14ac:dyDescent="0.3">
      <c r="A15" s="10"/>
      <c r="B15" s="153"/>
      <c r="C15" s="143"/>
      <c r="D15" s="158"/>
      <c r="E15" s="153"/>
      <c r="F15" s="155"/>
      <c r="G15" s="155"/>
      <c r="H15" s="155"/>
      <c r="I15" s="142"/>
      <c r="J15" s="142"/>
      <c r="K15" s="15"/>
    </row>
    <row r="16" spans="1:13" ht="30.6" x14ac:dyDescent="0.3">
      <c r="A16" s="10" t="s">
        <v>264</v>
      </c>
      <c r="B16" s="153" t="s">
        <v>261</v>
      </c>
      <c r="C16" s="143" t="s">
        <v>7</v>
      </c>
      <c r="D16" s="158" t="s">
        <v>262</v>
      </c>
      <c r="E16" s="153" t="s">
        <v>126</v>
      </c>
      <c r="F16" s="155"/>
      <c r="G16" s="155"/>
      <c r="H16" s="155"/>
      <c r="I16" s="142"/>
      <c r="J16" s="142"/>
      <c r="K16" s="16">
        <f>K17</f>
        <v>31.145625000000003</v>
      </c>
      <c r="M16" s="5" t="s">
        <v>260</v>
      </c>
    </row>
    <row r="17" spans="1:14" ht="20.399999999999999" x14ac:dyDescent="0.3">
      <c r="A17" s="10"/>
      <c r="B17" s="153"/>
      <c r="C17" s="143"/>
      <c r="D17" s="158" t="s">
        <v>259</v>
      </c>
      <c r="E17" s="153"/>
      <c r="F17" s="155">
        <v>5.65</v>
      </c>
      <c r="G17" s="155">
        <v>7.35</v>
      </c>
      <c r="H17" s="155">
        <v>0.75</v>
      </c>
      <c r="I17" s="142"/>
      <c r="J17" s="142"/>
      <c r="K17" s="15">
        <f>F17*G17*H17</f>
        <v>31.145625000000003</v>
      </c>
      <c r="M17" s="5" t="s">
        <v>263</v>
      </c>
    </row>
    <row r="18" spans="1:14" x14ac:dyDescent="0.3">
      <c r="A18" s="10"/>
      <c r="B18" s="153"/>
      <c r="C18" s="143"/>
      <c r="D18" s="158"/>
      <c r="E18" s="153"/>
      <c r="F18" s="155"/>
      <c r="G18" s="155"/>
      <c r="H18" s="155"/>
      <c r="I18" s="142"/>
      <c r="J18" s="142"/>
      <c r="K18" s="15"/>
    </row>
    <row r="19" spans="1:14" x14ac:dyDescent="0.3">
      <c r="A19" s="10" t="s">
        <v>265</v>
      </c>
      <c r="B19" s="153">
        <v>98459</v>
      </c>
      <c r="C19" s="143" t="s">
        <v>7</v>
      </c>
      <c r="D19" s="158" t="s">
        <v>139</v>
      </c>
      <c r="E19" s="153" t="s">
        <v>95</v>
      </c>
      <c r="F19" s="142"/>
      <c r="G19" s="142"/>
      <c r="H19" s="142"/>
      <c r="I19" s="142"/>
      <c r="J19" s="142"/>
      <c r="K19" s="16">
        <f>SUM(K20:K20)</f>
        <v>185</v>
      </c>
    </row>
    <row r="20" spans="1:14" x14ac:dyDescent="0.3">
      <c r="A20" s="10"/>
      <c r="B20" s="153"/>
      <c r="C20" s="153"/>
      <c r="D20" s="158" t="s">
        <v>239</v>
      </c>
      <c r="E20" s="153"/>
      <c r="F20" s="142"/>
      <c r="G20" s="142">
        <v>92.5</v>
      </c>
      <c r="H20" s="191">
        <v>2</v>
      </c>
      <c r="I20" s="142"/>
      <c r="J20" s="142"/>
      <c r="K20" s="15">
        <f>G20*H20</f>
        <v>185</v>
      </c>
    </row>
    <row r="21" spans="1:14" ht="13.95" customHeight="1" x14ac:dyDescent="0.3">
      <c r="A21" s="10"/>
      <c r="B21" s="153"/>
      <c r="C21" s="153"/>
      <c r="D21" s="158"/>
      <c r="E21" s="153"/>
      <c r="F21" s="142"/>
      <c r="G21" s="142"/>
      <c r="H21" s="142"/>
      <c r="I21" s="142"/>
      <c r="J21" s="142"/>
      <c r="K21" s="15"/>
      <c r="N21" s="3"/>
    </row>
    <row r="22" spans="1:14" hidden="1" x14ac:dyDescent="0.3">
      <c r="A22" s="10" t="s">
        <v>34</v>
      </c>
      <c r="B22" s="192"/>
      <c r="C22" s="153"/>
      <c r="D22" s="193"/>
      <c r="E22" s="153"/>
      <c r="F22" s="142"/>
      <c r="G22" s="142"/>
      <c r="H22" s="142"/>
      <c r="I22" s="142"/>
      <c r="J22" s="142"/>
      <c r="K22" s="15">
        <f t="shared" ref="K22:K26" si="0">F22*G22</f>
        <v>0</v>
      </c>
    </row>
    <row r="23" spans="1:14" ht="14.4" hidden="1" x14ac:dyDescent="0.3">
      <c r="A23" s="10"/>
      <c r="B23" s="153"/>
      <c r="C23" s="153"/>
      <c r="D23" s="193"/>
      <c r="E23" s="145"/>
      <c r="F23" s="142"/>
      <c r="G23" s="142"/>
      <c r="H23" s="142"/>
      <c r="I23" s="142"/>
      <c r="J23" s="142"/>
      <c r="K23" s="15">
        <f t="shared" si="0"/>
        <v>0</v>
      </c>
      <c r="M23" s="49"/>
    </row>
    <row r="24" spans="1:14" hidden="1" x14ac:dyDescent="0.3">
      <c r="A24" s="10"/>
      <c r="B24" s="153"/>
      <c r="C24" s="153"/>
      <c r="D24" s="193"/>
      <c r="E24" s="153"/>
      <c r="F24" s="142"/>
      <c r="G24" s="142"/>
      <c r="H24" s="142"/>
      <c r="I24" s="142"/>
      <c r="J24" s="142"/>
      <c r="K24" s="15">
        <f t="shared" si="0"/>
        <v>0</v>
      </c>
    </row>
    <row r="25" spans="1:14" hidden="1" x14ac:dyDescent="0.3">
      <c r="A25" s="10"/>
      <c r="B25" s="153"/>
      <c r="C25" s="153"/>
      <c r="D25" s="193"/>
      <c r="E25" s="153"/>
      <c r="F25" s="142"/>
      <c r="G25" s="142"/>
      <c r="H25" s="142"/>
      <c r="I25" s="142"/>
      <c r="J25" s="142"/>
      <c r="K25" s="15">
        <f t="shared" si="0"/>
        <v>0</v>
      </c>
    </row>
    <row r="26" spans="1:14" x14ac:dyDescent="0.2">
      <c r="A26" s="10" t="s">
        <v>266</v>
      </c>
      <c r="B26" s="194" t="s">
        <v>710</v>
      </c>
      <c r="C26" s="195" t="s">
        <v>42</v>
      </c>
      <c r="D26" s="196" t="s">
        <v>104</v>
      </c>
      <c r="E26" s="178" t="s">
        <v>95</v>
      </c>
      <c r="F26" s="142">
        <v>1.5</v>
      </c>
      <c r="G26" s="142">
        <v>3</v>
      </c>
      <c r="H26" s="142"/>
      <c r="I26" s="142"/>
      <c r="J26" s="142"/>
      <c r="K26" s="16">
        <f t="shared" si="0"/>
        <v>4.5</v>
      </c>
    </row>
    <row r="27" spans="1:14" x14ac:dyDescent="0.3">
      <c r="A27" s="10"/>
      <c r="B27" s="153"/>
      <c r="C27" s="153"/>
      <c r="D27" s="158"/>
      <c r="E27" s="153"/>
      <c r="F27" s="142"/>
      <c r="G27" s="142"/>
      <c r="H27" s="142"/>
      <c r="I27" s="142"/>
      <c r="J27" s="142"/>
      <c r="K27" s="15"/>
    </row>
    <row r="28" spans="1:14" ht="30.6" x14ac:dyDescent="0.3">
      <c r="A28" s="10" t="s">
        <v>267</v>
      </c>
      <c r="B28" s="153">
        <v>99059</v>
      </c>
      <c r="C28" s="143" t="s">
        <v>7</v>
      </c>
      <c r="D28" s="158" t="s">
        <v>136</v>
      </c>
      <c r="E28" s="197" t="s">
        <v>97</v>
      </c>
      <c r="F28" s="142"/>
      <c r="G28" s="142"/>
      <c r="H28" s="142"/>
      <c r="I28" s="142"/>
      <c r="J28" s="142"/>
      <c r="K28" s="16">
        <f>K29</f>
        <v>92.5</v>
      </c>
      <c r="M28" s="96"/>
    </row>
    <row r="29" spans="1:14" x14ac:dyDescent="0.3">
      <c r="A29" s="10"/>
      <c r="B29" s="153"/>
      <c r="C29" s="153"/>
      <c r="D29" s="158" t="s">
        <v>238</v>
      </c>
      <c r="E29" s="153"/>
      <c r="F29" s="142"/>
      <c r="G29" s="142">
        <v>92.5</v>
      </c>
      <c r="H29" s="142"/>
      <c r="I29" s="142"/>
      <c r="J29" s="142"/>
      <c r="K29" s="15">
        <f>G29</f>
        <v>92.5</v>
      </c>
    </row>
    <row r="30" spans="1:14" x14ac:dyDescent="0.3">
      <c r="A30" s="10"/>
      <c r="B30" s="153"/>
      <c r="C30" s="153"/>
      <c r="D30" s="198"/>
      <c r="E30" s="153"/>
      <c r="F30" s="142"/>
      <c r="G30" s="142"/>
      <c r="H30" s="142"/>
      <c r="I30" s="142"/>
      <c r="J30" s="142"/>
      <c r="K30" s="15"/>
    </row>
    <row r="31" spans="1:14" x14ac:dyDescent="0.2">
      <c r="A31" s="106" t="s">
        <v>9</v>
      </c>
      <c r="B31" s="199"/>
      <c r="C31" s="200"/>
      <c r="D31" s="201" t="s">
        <v>268</v>
      </c>
      <c r="E31" s="202"/>
      <c r="F31" s="177"/>
      <c r="G31" s="177"/>
      <c r="H31" s="177"/>
      <c r="I31" s="177"/>
      <c r="J31" s="177"/>
      <c r="K31" s="105"/>
    </row>
    <row r="32" spans="1:14" ht="20.399999999999999" x14ac:dyDescent="0.3">
      <c r="A32" s="82" t="s">
        <v>10</v>
      </c>
      <c r="B32" s="185">
        <v>93358</v>
      </c>
      <c r="C32" s="168" t="s">
        <v>7</v>
      </c>
      <c r="D32" s="161" t="s">
        <v>130</v>
      </c>
      <c r="E32" s="168" t="s">
        <v>126</v>
      </c>
      <c r="F32" s="163"/>
      <c r="G32" s="163"/>
      <c r="H32" s="163"/>
      <c r="I32" s="163"/>
      <c r="J32" s="163"/>
      <c r="K32" s="76">
        <f>SUM(K33:K39)</f>
        <v>27.957599999999996</v>
      </c>
    </row>
    <row r="33" spans="1:15" x14ac:dyDescent="0.2">
      <c r="A33" s="121"/>
      <c r="B33" s="159"/>
      <c r="C33" s="160"/>
      <c r="D33" s="161" t="s">
        <v>269</v>
      </c>
      <c r="E33" s="162"/>
      <c r="F33" s="163">
        <v>0.3</v>
      </c>
      <c r="G33" s="163">
        <v>29.4</v>
      </c>
      <c r="H33" s="163">
        <v>0.6</v>
      </c>
      <c r="I33" s="163"/>
      <c r="J33" s="163"/>
      <c r="K33" s="123">
        <f>F33*G33*H33</f>
        <v>5.2919999999999989</v>
      </c>
      <c r="M33" s="122">
        <v>29.4</v>
      </c>
      <c r="N33" s="122">
        <v>0.2</v>
      </c>
      <c r="O33" s="122">
        <v>0.2</v>
      </c>
    </row>
    <row r="34" spans="1:15" x14ac:dyDescent="0.2">
      <c r="A34" s="121"/>
      <c r="B34" s="159"/>
      <c r="C34" s="160"/>
      <c r="D34" s="161" t="s">
        <v>271</v>
      </c>
      <c r="E34" s="162"/>
      <c r="F34" s="163">
        <v>0.3</v>
      </c>
      <c r="G34" s="163">
        <v>24.8</v>
      </c>
      <c r="H34" s="163">
        <v>0.6</v>
      </c>
      <c r="I34" s="163"/>
      <c r="J34" s="163"/>
      <c r="K34" s="123">
        <f t="shared" ref="K34:K37" si="1">F34*G34*H34</f>
        <v>4.4639999999999995</v>
      </c>
      <c r="M34" s="122">
        <v>24.2</v>
      </c>
      <c r="N34" s="122">
        <v>0.2</v>
      </c>
      <c r="O34" s="122">
        <v>0.2</v>
      </c>
    </row>
    <row r="35" spans="1:15" x14ac:dyDescent="0.2">
      <c r="A35" s="121"/>
      <c r="B35" s="159"/>
      <c r="C35" s="160"/>
      <c r="D35" s="161" t="s">
        <v>270</v>
      </c>
      <c r="E35" s="162"/>
      <c r="F35" s="163">
        <v>0.3</v>
      </c>
      <c r="G35" s="163">
        <v>29.3</v>
      </c>
      <c r="H35" s="163">
        <v>0.6</v>
      </c>
      <c r="I35" s="163"/>
      <c r="J35" s="163"/>
      <c r="K35" s="123">
        <f t="shared" si="1"/>
        <v>5.2739999999999991</v>
      </c>
      <c r="M35" s="122">
        <v>29.6</v>
      </c>
      <c r="N35" s="122">
        <v>0.2</v>
      </c>
      <c r="O35" s="122">
        <v>0.2</v>
      </c>
    </row>
    <row r="36" spans="1:15" x14ac:dyDescent="0.2">
      <c r="A36" s="121"/>
      <c r="B36" s="159"/>
      <c r="C36" s="160"/>
      <c r="D36" s="161" t="s">
        <v>272</v>
      </c>
      <c r="E36" s="162"/>
      <c r="F36" s="163">
        <v>0.3</v>
      </c>
      <c r="G36" s="163">
        <v>16.04</v>
      </c>
      <c r="H36" s="163">
        <v>0.6</v>
      </c>
      <c r="I36" s="163"/>
      <c r="J36" s="163"/>
      <c r="K36" s="123">
        <f t="shared" si="1"/>
        <v>2.8871999999999995</v>
      </c>
      <c r="M36" s="122">
        <v>16.02</v>
      </c>
      <c r="N36" s="122">
        <v>0.15</v>
      </c>
      <c r="O36" s="122">
        <v>0.2</v>
      </c>
    </row>
    <row r="37" spans="1:15" x14ac:dyDescent="0.2">
      <c r="A37" s="121"/>
      <c r="B37" s="159"/>
      <c r="C37" s="160"/>
      <c r="D37" s="161" t="s">
        <v>273</v>
      </c>
      <c r="E37" s="162"/>
      <c r="F37" s="163">
        <v>0.3</v>
      </c>
      <c r="G37" s="163">
        <v>34.200000000000003</v>
      </c>
      <c r="H37" s="163">
        <v>0.6</v>
      </c>
      <c r="I37" s="163"/>
      <c r="J37" s="163"/>
      <c r="K37" s="123">
        <f t="shared" si="1"/>
        <v>6.1559999999999997</v>
      </c>
      <c r="M37" s="122">
        <v>42.3</v>
      </c>
      <c r="N37" s="122">
        <v>0.15</v>
      </c>
      <c r="O37" s="122">
        <v>0.2</v>
      </c>
    </row>
    <row r="38" spans="1:15" x14ac:dyDescent="0.2">
      <c r="A38" s="121"/>
      <c r="B38" s="159"/>
      <c r="C38" s="160"/>
      <c r="D38" s="161" t="s">
        <v>274</v>
      </c>
      <c r="E38" s="162"/>
      <c r="F38" s="163">
        <v>0.3</v>
      </c>
      <c r="G38" s="163">
        <v>17.52</v>
      </c>
      <c r="H38" s="163">
        <v>0.4</v>
      </c>
      <c r="I38" s="163"/>
      <c r="J38" s="163"/>
      <c r="K38" s="123">
        <f t="shared" ref="K38" si="2">F38*G38*H38</f>
        <v>2.1023999999999998</v>
      </c>
      <c r="M38" s="164"/>
      <c r="N38" s="164"/>
      <c r="O38" s="164"/>
    </row>
    <row r="39" spans="1:15" x14ac:dyDescent="0.2">
      <c r="A39" s="121"/>
      <c r="B39" s="159"/>
      <c r="C39" s="160"/>
      <c r="D39" s="161" t="s">
        <v>275</v>
      </c>
      <c r="E39" s="162"/>
      <c r="F39" s="163">
        <v>0.3</v>
      </c>
      <c r="G39" s="163">
        <v>0.55000000000000004</v>
      </c>
      <c r="H39" s="163">
        <v>0.3</v>
      </c>
      <c r="I39" s="163">
        <v>36</v>
      </c>
      <c r="J39" s="163"/>
      <c r="K39" s="123">
        <f>(F39*G39*H39)*I39</f>
        <v>1.782</v>
      </c>
      <c r="M39" s="164"/>
      <c r="N39" s="164"/>
      <c r="O39" s="164"/>
    </row>
    <row r="40" spans="1:15" x14ac:dyDescent="0.3">
      <c r="A40" s="14"/>
      <c r="B40" s="203"/>
      <c r="C40" s="204"/>
      <c r="D40" s="205"/>
      <c r="E40" s="206"/>
      <c r="F40" s="142"/>
      <c r="G40" s="142"/>
      <c r="H40" s="142"/>
      <c r="I40" s="142"/>
      <c r="J40" s="142"/>
      <c r="K40" s="15"/>
    </row>
    <row r="41" spans="1:15" ht="20.399999999999999" x14ac:dyDescent="0.3">
      <c r="A41" s="12" t="s">
        <v>12</v>
      </c>
      <c r="B41" s="156">
        <v>101616</v>
      </c>
      <c r="C41" s="151" t="s">
        <v>7</v>
      </c>
      <c r="D41" s="152" t="s">
        <v>253</v>
      </c>
      <c r="E41" s="151" t="s">
        <v>95</v>
      </c>
      <c r="F41" s="142"/>
      <c r="G41" s="142"/>
      <c r="H41" s="142"/>
      <c r="I41" s="142"/>
      <c r="J41" s="142"/>
      <c r="K41" s="16">
        <f>SUM(K42:K48)</f>
        <v>51.317999999999991</v>
      </c>
    </row>
    <row r="42" spans="1:15" x14ac:dyDescent="0.3">
      <c r="A42" s="12"/>
      <c r="B42" s="156"/>
      <c r="C42" s="151"/>
      <c r="D42" s="161" t="s">
        <v>269</v>
      </c>
      <c r="E42" s="162"/>
      <c r="F42" s="163">
        <v>0.3</v>
      </c>
      <c r="G42" s="163">
        <v>29.4</v>
      </c>
      <c r="H42" s="142"/>
      <c r="I42" s="142"/>
      <c r="J42" s="142"/>
      <c r="K42" s="15">
        <f>(F42*G42)</f>
        <v>8.8199999999999985</v>
      </c>
    </row>
    <row r="43" spans="1:15" x14ac:dyDescent="0.3">
      <c r="A43" s="12"/>
      <c r="B43" s="156"/>
      <c r="C43" s="151"/>
      <c r="D43" s="161" t="s">
        <v>271</v>
      </c>
      <c r="E43" s="162"/>
      <c r="F43" s="163">
        <v>0.3</v>
      </c>
      <c r="G43" s="163">
        <v>24.8</v>
      </c>
      <c r="H43" s="142"/>
      <c r="I43" s="142"/>
      <c r="J43" s="142"/>
      <c r="K43" s="15">
        <f t="shared" ref="K43:K47" si="3">(F43*G43)</f>
        <v>7.4399999999999995</v>
      </c>
    </row>
    <row r="44" spans="1:15" x14ac:dyDescent="0.3">
      <c r="A44" s="12"/>
      <c r="B44" s="156"/>
      <c r="C44" s="151"/>
      <c r="D44" s="161" t="s">
        <v>270</v>
      </c>
      <c r="E44" s="162"/>
      <c r="F44" s="163">
        <v>0.3</v>
      </c>
      <c r="G44" s="163">
        <v>29.3</v>
      </c>
      <c r="H44" s="142"/>
      <c r="I44" s="142"/>
      <c r="J44" s="142"/>
      <c r="K44" s="15">
        <f t="shared" si="3"/>
        <v>8.7899999999999991</v>
      </c>
    </row>
    <row r="45" spans="1:15" x14ac:dyDescent="0.3">
      <c r="A45" s="12"/>
      <c r="B45" s="156"/>
      <c r="C45" s="151"/>
      <c r="D45" s="161" t="s">
        <v>272</v>
      </c>
      <c r="E45" s="162"/>
      <c r="F45" s="163">
        <v>0.3</v>
      </c>
      <c r="G45" s="163">
        <v>16.04</v>
      </c>
      <c r="H45" s="142"/>
      <c r="I45" s="142"/>
      <c r="J45" s="142"/>
      <c r="K45" s="15">
        <f t="shared" si="3"/>
        <v>4.8119999999999994</v>
      </c>
    </row>
    <row r="46" spans="1:15" x14ac:dyDescent="0.3">
      <c r="A46" s="12"/>
      <c r="B46" s="156"/>
      <c r="C46" s="151"/>
      <c r="D46" s="161" t="s">
        <v>273</v>
      </c>
      <c r="E46" s="162"/>
      <c r="F46" s="163">
        <v>0.3</v>
      </c>
      <c r="G46" s="163">
        <v>34.200000000000003</v>
      </c>
      <c r="H46" s="142"/>
      <c r="I46" s="142"/>
      <c r="J46" s="142"/>
      <c r="K46" s="15">
        <f t="shared" si="3"/>
        <v>10.26</v>
      </c>
    </row>
    <row r="47" spans="1:15" x14ac:dyDescent="0.3">
      <c r="A47" s="12"/>
      <c r="B47" s="156"/>
      <c r="C47" s="151"/>
      <c r="D47" s="161" t="s">
        <v>274</v>
      </c>
      <c r="E47" s="162"/>
      <c r="F47" s="163">
        <v>0.3</v>
      </c>
      <c r="G47" s="163">
        <v>17.52</v>
      </c>
      <c r="H47" s="142"/>
      <c r="I47" s="142"/>
      <c r="J47" s="142"/>
      <c r="K47" s="15">
        <f t="shared" si="3"/>
        <v>5.2559999999999993</v>
      </c>
    </row>
    <row r="48" spans="1:15" x14ac:dyDescent="0.3">
      <c r="A48" s="12"/>
      <c r="B48" s="156"/>
      <c r="C48" s="151"/>
      <c r="D48" s="161" t="s">
        <v>275</v>
      </c>
      <c r="E48" s="162"/>
      <c r="F48" s="163">
        <v>0.3</v>
      </c>
      <c r="G48" s="163">
        <v>0.55000000000000004</v>
      </c>
      <c r="H48" s="142"/>
      <c r="I48" s="142">
        <v>36</v>
      </c>
      <c r="J48" s="142"/>
      <c r="K48" s="15">
        <f t="shared" ref="K48" si="4">(F48*G48)*I48</f>
        <v>5.94</v>
      </c>
    </row>
    <row r="49" spans="1:11" x14ac:dyDescent="0.3">
      <c r="A49" s="12"/>
      <c r="B49" s="156"/>
      <c r="C49" s="151"/>
      <c r="D49" s="144"/>
      <c r="E49" s="143"/>
      <c r="F49" s="142"/>
      <c r="G49" s="142"/>
      <c r="H49" s="142"/>
      <c r="I49" s="142"/>
      <c r="J49" s="142"/>
      <c r="K49" s="15"/>
    </row>
    <row r="50" spans="1:11" ht="20.399999999999999" x14ac:dyDescent="0.3">
      <c r="A50" s="13" t="s">
        <v>13</v>
      </c>
      <c r="B50" s="153">
        <v>95241</v>
      </c>
      <c r="C50" s="143" t="s">
        <v>7</v>
      </c>
      <c r="D50" s="161" t="s">
        <v>233</v>
      </c>
      <c r="E50" s="207" t="s">
        <v>95</v>
      </c>
      <c r="F50" s="142"/>
      <c r="G50" s="142"/>
      <c r="H50" s="142"/>
      <c r="I50" s="142"/>
      <c r="J50" s="142"/>
      <c r="K50" s="76">
        <f>SUM(K51:K58)</f>
        <v>66.437999999999988</v>
      </c>
    </row>
    <row r="51" spans="1:11" x14ac:dyDescent="0.3">
      <c r="A51" s="13"/>
      <c r="B51" s="153"/>
      <c r="C51" s="143"/>
      <c r="D51" s="161" t="s">
        <v>269</v>
      </c>
      <c r="E51" s="162"/>
      <c r="F51" s="163">
        <v>0.3</v>
      </c>
      <c r="G51" s="163">
        <v>29.4</v>
      </c>
      <c r="H51" s="142"/>
      <c r="I51" s="142"/>
      <c r="J51" s="142"/>
      <c r="K51" s="15">
        <f>(F51*G51)</f>
        <v>8.8199999999999985</v>
      </c>
    </row>
    <row r="52" spans="1:11" x14ac:dyDescent="0.3">
      <c r="A52" s="13"/>
      <c r="B52" s="153"/>
      <c r="C52" s="143"/>
      <c r="D52" s="161" t="s">
        <v>271</v>
      </c>
      <c r="E52" s="162"/>
      <c r="F52" s="163">
        <v>0.3</v>
      </c>
      <c r="G52" s="163">
        <v>24.8</v>
      </c>
      <c r="H52" s="142"/>
      <c r="I52" s="142"/>
      <c r="J52" s="142"/>
      <c r="K52" s="15">
        <f t="shared" ref="K52:K56" si="5">(F52*G52)</f>
        <v>7.4399999999999995</v>
      </c>
    </row>
    <row r="53" spans="1:11" x14ac:dyDescent="0.3">
      <c r="A53" s="13"/>
      <c r="B53" s="153"/>
      <c r="C53" s="143"/>
      <c r="D53" s="161" t="s">
        <v>270</v>
      </c>
      <c r="E53" s="162"/>
      <c r="F53" s="163">
        <v>0.3</v>
      </c>
      <c r="G53" s="163">
        <v>29.3</v>
      </c>
      <c r="H53" s="142"/>
      <c r="I53" s="142"/>
      <c r="J53" s="142"/>
      <c r="K53" s="15">
        <f t="shared" si="5"/>
        <v>8.7899999999999991</v>
      </c>
    </row>
    <row r="54" spans="1:11" x14ac:dyDescent="0.3">
      <c r="A54" s="13"/>
      <c r="B54" s="153"/>
      <c r="C54" s="143"/>
      <c r="D54" s="161" t="s">
        <v>272</v>
      </c>
      <c r="E54" s="162"/>
      <c r="F54" s="163">
        <v>0.3</v>
      </c>
      <c r="G54" s="163">
        <v>16.04</v>
      </c>
      <c r="H54" s="142"/>
      <c r="I54" s="142"/>
      <c r="J54" s="142"/>
      <c r="K54" s="15">
        <f t="shared" si="5"/>
        <v>4.8119999999999994</v>
      </c>
    </row>
    <row r="55" spans="1:11" x14ac:dyDescent="0.3">
      <c r="A55" s="13"/>
      <c r="B55" s="153"/>
      <c r="C55" s="143"/>
      <c r="D55" s="161" t="s">
        <v>273</v>
      </c>
      <c r="E55" s="162"/>
      <c r="F55" s="163">
        <v>0.3</v>
      </c>
      <c r="G55" s="163">
        <v>34.200000000000003</v>
      </c>
      <c r="H55" s="142"/>
      <c r="I55" s="142"/>
      <c r="J55" s="142"/>
      <c r="K55" s="15">
        <f t="shared" si="5"/>
        <v>10.26</v>
      </c>
    </row>
    <row r="56" spans="1:11" x14ac:dyDescent="0.3">
      <c r="A56" s="13"/>
      <c r="B56" s="153"/>
      <c r="C56" s="143"/>
      <c r="D56" s="161" t="s">
        <v>274</v>
      </c>
      <c r="E56" s="162"/>
      <c r="F56" s="163">
        <v>0.3</v>
      </c>
      <c r="G56" s="163">
        <v>17.52</v>
      </c>
      <c r="H56" s="142"/>
      <c r="I56" s="142"/>
      <c r="J56" s="142"/>
      <c r="K56" s="15">
        <f t="shared" si="5"/>
        <v>5.2559999999999993</v>
      </c>
    </row>
    <row r="57" spans="1:11" x14ac:dyDescent="0.3">
      <c r="A57" s="13"/>
      <c r="B57" s="153"/>
      <c r="C57" s="143"/>
      <c r="D57" s="161" t="s">
        <v>275</v>
      </c>
      <c r="E57" s="162"/>
      <c r="F57" s="163">
        <v>0.3</v>
      </c>
      <c r="G57" s="163">
        <v>0.55000000000000004</v>
      </c>
      <c r="H57" s="142"/>
      <c r="I57" s="142">
        <v>36</v>
      </c>
      <c r="J57" s="142"/>
      <c r="K57" s="15">
        <f t="shared" ref="K57" si="6">(F57*G57)*I57</f>
        <v>5.94</v>
      </c>
    </row>
    <row r="58" spans="1:11" x14ac:dyDescent="0.3">
      <c r="A58" s="13"/>
      <c r="B58" s="153"/>
      <c r="C58" s="143"/>
      <c r="D58" s="179" t="s">
        <v>276</v>
      </c>
      <c r="E58" s="143"/>
      <c r="F58" s="155" t="s">
        <v>240</v>
      </c>
      <c r="G58" s="145"/>
      <c r="H58" s="148"/>
      <c r="I58" s="148"/>
      <c r="J58" s="148"/>
      <c r="K58" s="15">
        <f>(3.78*4)</f>
        <v>15.12</v>
      </c>
    </row>
    <row r="59" spans="1:11" x14ac:dyDescent="0.3">
      <c r="A59" s="12"/>
      <c r="B59" s="156"/>
      <c r="C59" s="151"/>
      <c r="D59" s="144"/>
      <c r="E59" s="143"/>
      <c r="F59" s="142"/>
      <c r="G59" s="142"/>
      <c r="H59" s="142"/>
      <c r="I59" s="142"/>
      <c r="J59" s="142"/>
      <c r="K59" s="15"/>
    </row>
    <row r="60" spans="1:11" ht="30.6" x14ac:dyDescent="0.3">
      <c r="A60" s="13" t="s">
        <v>14</v>
      </c>
      <c r="B60" s="153" t="s">
        <v>711</v>
      </c>
      <c r="C60" s="153" t="s">
        <v>254</v>
      </c>
      <c r="D60" s="154" t="s">
        <v>255</v>
      </c>
      <c r="E60" s="143" t="s">
        <v>95</v>
      </c>
      <c r="F60" s="142"/>
      <c r="G60" s="142"/>
      <c r="H60" s="142"/>
      <c r="I60" s="142"/>
      <c r="J60" s="142"/>
      <c r="K60" s="16">
        <f>SUM(K61:K66)</f>
        <v>186.91900000000001</v>
      </c>
    </row>
    <row r="61" spans="1:11" x14ac:dyDescent="0.3">
      <c r="A61" s="12"/>
      <c r="B61" s="156"/>
      <c r="C61" s="151"/>
      <c r="D61" s="161" t="s">
        <v>278</v>
      </c>
      <c r="E61" s="162"/>
      <c r="F61" s="163"/>
      <c r="G61" s="163">
        <v>29.4</v>
      </c>
      <c r="H61" s="163">
        <v>1.4</v>
      </c>
      <c r="I61" s="163"/>
      <c r="J61" s="142"/>
      <c r="K61" s="15">
        <f>G61*H61</f>
        <v>41.16</v>
      </c>
    </row>
    <row r="62" spans="1:11" x14ac:dyDescent="0.3">
      <c r="A62" s="12"/>
      <c r="B62" s="156"/>
      <c r="C62" s="151"/>
      <c r="D62" s="161" t="s">
        <v>279</v>
      </c>
      <c r="E62" s="162"/>
      <c r="F62" s="163"/>
      <c r="G62" s="163">
        <v>24.8</v>
      </c>
      <c r="H62" s="163">
        <v>1.3</v>
      </c>
      <c r="I62" s="163"/>
      <c r="J62" s="142"/>
      <c r="K62" s="15">
        <f t="shared" ref="K62:K66" si="7">G62*H62</f>
        <v>32.24</v>
      </c>
    </row>
    <row r="63" spans="1:11" x14ac:dyDescent="0.3">
      <c r="A63" s="12"/>
      <c r="B63" s="156"/>
      <c r="C63" s="151"/>
      <c r="D63" s="161" t="s">
        <v>280</v>
      </c>
      <c r="E63" s="162"/>
      <c r="F63" s="163"/>
      <c r="G63" s="163">
        <v>29.3</v>
      </c>
      <c r="H63" s="163">
        <v>1.45</v>
      </c>
      <c r="I63" s="163"/>
      <c r="J63" s="142"/>
      <c r="K63" s="15">
        <f t="shared" si="7"/>
        <v>42.484999999999999</v>
      </c>
    </row>
    <row r="64" spans="1:11" x14ac:dyDescent="0.3">
      <c r="A64" s="12"/>
      <c r="B64" s="156"/>
      <c r="C64" s="151"/>
      <c r="D64" s="161" t="s">
        <v>281</v>
      </c>
      <c r="E64" s="162"/>
      <c r="F64" s="163"/>
      <c r="G64" s="163">
        <v>16.04</v>
      </c>
      <c r="H64" s="163">
        <v>0.9</v>
      </c>
      <c r="I64" s="163"/>
      <c r="J64" s="142"/>
      <c r="K64" s="15">
        <f t="shared" si="7"/>
        <v>14.436</v>
      </c>
    </row>
    <row r="65" spans="1:13" x14ac:dyDescent="0.3">
      <c r="A65" s="12"/>
      <c r="B65" s="156"/>
      <c r="C65" s="151"/>
      <c r="D65" s="161" t="s">
        <v>282</v>
      </c>
      <c r="E65" s="162"/>
      <c r="F65" s="163"/>
      <c r="G65" s="163">
        <v>34.200000000000003</v>
      </c>
      <c r="H65" s="163">
        <v>1.45</v>
      </c>
      <c r="I65" s="163"/>
      <c r="J65" s="142"/>
      <c r="K65" s="15">
        <f t="shared" si="7"/>
        <v>49.59</v>
      </c>
    </row>
    <row r="66" spans="1:13" x14ac:dyDescent="0.3">
      <c r="A66" s="12"/>
      <c r="B66" s="156"/>
      <c r="C66" s="151"/>
      <c r="D66" s="161" t="s">
        <v>283</v>
      </c>
      <c r="E66" s="162"/>
      <c r="F66" s="163"/>
      <c r="G66" s="163">
        <v>17.52</v>
      </c>
      <c r="H66" s="163">
        <v>0.4</v>
      </c>
      <c r="I66" s="163"/>
      <c r="J66" s="142"/>
      <c r="K66" s="15">
        <f t="shared" si="7"/>
        <v>7.008</v>
      </c>
    </row>
    <row r="67" spans="1:13" x14ac:dyDescent="0.3">
      <c r="A67" s="12"/>
      <c r="B67" s="156"/>
      <c r="C67" s="151"/>
      <c r="D67" s="161"/>
      <c r="E67" s="162"/>
      <c r="F67" s="163"/>
      <c r="G67" s="163"/>
      <c r="H67" s="163"/>
      <c r="I67" s="163"/>
      <c r="J67" s="142"/>
      <c r="K67" s="15"/>
    </row>
    <row r="68" spans="1:13" ht="20.399999999999999" x14ac:dyDescent="0.3">
      <c r="A68" s="13" t="s">
        <v>34</v>
      </c>
      <c r="B68" s="153">
        <v>93382</v>
      </c>
      <c r="C68" s="143" t="s">
        <v>7</v>
      </c>
      <c r="D68" s="144" t="s">
        <v>140</v>
      </c>
      <c r="E68" s="143" t="s">
        <v>126</v>
      </c>
      <c r="F68" s="142"/>
      <c r="G68" s="142"/>
      <c r="H68" s="142"/>
      <c r="I68" s="142"/>
      <c r="J68" s="142"/>
      <c r="K68" s="16">
        <f>E72-E71-E70-E69</f>
        <v>23.352499999999996</v>
      </c>
    </row>
    <row r="69" spans="1:13" x14ac:dyDescent="0.3">
      <c r="A69" s="13"/>
      <c r="B69" s="153"/>
      <c r="C69" s="143"/>
      <c r="D69" s="146" t="s">
        <v>249</v>
      </c>
      <c r="E69" s="147">
        <f>K50*0.05</f>
        <v>3.3218999999999994</v>
      </c>
      <c r="F69" s="148"/>
      <c r="G69" s="148"/>
      <c r="H69" s="148"/>
      <c r="I69" s="148"/>
      <c r="J69" s="148"/>
      <c r="K69" s="16"/>
    </row>
    <row r="70" spans="1:13" x14ac:dyDescent="0.3">
      <c r="A70" s="13"/>
      <c r="B70" s="153"/>
      <c r="C70" s="143"/>
      <c r="D70" s="146" t="s">
        <v>250</v>
      </c>
      <c r="E70" s="147">
        <f>K174</f>
        <v>0</v>
      </c>
      <c r="F70" s="148"/>
      <c r="G70" s="148"/>
      <c r="H70" s="148"/>
      <c r="I70" s="148"/>
      <c r="J70" s="148"/>
      <c r="K70" s="16"/>
    </row>
    <row r="71" spans="1:13" x14ac:dyDescent="0.3">
      <c r="A71" s="13"/>
      <c r="B71" s="153"/>
      <c r="C71" s="143"/>
      <c r="D71" s="146" t="s">
        <v>251</v>
      </c>
      <c r="E71" s="147">
        <f>K121*0.5*0.2</f>
        <v>1.2832000000000001</v>
      </c>
      <c r="F71" s="148"/>
      <c r="G71" s="148"/>
      <c r="H71" s="148"/>
      <c r="I71" s="148"/>
      <c r="J71" s="148"/>
      <c r="K71" s="16"/>
    </row>
    <row r="72" spans="1:13" x14ac:dyDescent="0.3">
      <c r="A72" s="13"/>
      <c r="B72" s="153"/>
      <c r="C72" s="143"/>
      <c r="D72" s="149" t="s">
        <v>252</v>
      </c>
      <c r="E72" s="150">
        <f>K32</f>
        <v>27.957599999999996</v>
      </c>
      <c r="F72" s="148"/>
      <c r="G72" s="148"/>
      <c r="H72" s="148"/>
      <c r="I72" s="148"/>
      <c r="J72" s="148"/>
      <c r="K72" s="16"/>
    </row>
    <row r="73" spans="1:13" x14ac:dyDescent="0.3">
      <c r="A73" s="12"/>
      <c r="B73" s="156"/>
      <c r="C73" s="151"/>
      <c r="D73" s="144"/>
      <c r="E73" s="143"/>
      <c r="F73" s="142"/>
      <c r="G73" s="142"/>
      <c r="H73" s="142"/>
      <c r="I73" s="142"/>
      <c r="J73" s="142"/>
      <c r="K73" s="15"/>
    </row>
    <row r="74" spans="1:13" ht="30.6" x14ac:dyDescent="0.3">
      <c r="A74" s="13" t="s">
        <v>125</v>
      </c>
      <c r="B74" s="153">
        <v>103329</v>
      </c>
      <c r="C74" s="143" t="s">
        <v>7</v>
      </c>
      <c r="D74" s="154" t="s">
        <v>131</v>
      </c>
      <c r="E74" s="143" t="s">
        <v>95</v>
      </c>
      <c r="F74" s="142"/>
      <c r="G74" s="142"/>
      <c r="H74" s="142"/>
      <c r="I74" s="142"/>
      <c r="J74" s="142"/>
      <c r="K74" s="16">
        <f>SUM(K75:K75)</f>
        <v>10.511999999999999</v>
      </c>
    </row>
    <row r="75" spans="1:13" x14ac:dyDescent="0.3">
      <c r="A75" s="13"/>
      <c r="B75" s="153"/>
      <c r="C75" s="143"/>
      <c r="D75" s="161" t="s">
        <v>284</v>
      </c>
      <c r="E75" s="162"/>
      <c r="F75" s="163"/>
      <c r="G75" s="163">
        <v>17.52</v>
      </c>
      <c r="H75" s="163">
        <v>0.6</v>
      </c>
      <c r="I75" s="163"/>
      <c r="J75" s="142"/>
      <c r="K75" s="15">
        <f t="shared" ref="K75" si="8">G75*H75</f>
        <v>10.511999999999999</v>
      </c>
    </row>
    <row r="76" spans="1:13" x14ac:dyDescent="0.2">
      <c r="A76" s="13"/>
      <c r="B76" s="194"/>
      <c r="C76" s="195"/>
      <c r="D76" s="144"/>
      <c r="E76" s="143"/>
      <c r="F76" s="142"/>
      <c r="G76" s="142"/>
      <c r="H76" s="142"/>
      <c r="I76" s="142"/>
      <c r="J76" s="142"/>
      <c r="K76" s="15"/>
    </row>
    <row r="77" spans="1:13" ht="30.6" x14ac:dyDescent="0.3">
      <c r="A77" s="169" t="s">
        <v>285</v>
      </c>
      <c r="B77" s="143">
        <v>96538</v>
      </c>
      <c r="C77" s="143" t="s">
        <v>7</v>
      </c>
      <c r="D77" s="144" t="s">
        <v>295</v>
      </c>
      <c r="E77" s="143" t="s">
        <v>95</v>
      </c>
      <c r="F77" s="142"/>
      <c r="G77" s="142"/>
      <c r="H77" s="142"/>
      <c r="I77" s="142"/>
      <c r="J77" s="142"/>
      <c r="K77" s="16">
        <f>K78</f>
        <v>11.520000000000003</v>
      </c>
    </row>
    <row r="78" spans="1:13" x14ac:dyDescent="0.3">
      <c r="A78" s="169"/>
      <c r="B78" s="143"/>
      <c r="C78" s="143"/>
      <c r="D78" s="144" t="s">
        <v>299</v>
      </c>
      <c r="E78" s="143"/>
      <c r="F78" s="142">
        <v>0.2</v>
      </c>
      <c r="G78" s="142">
        <v>0.6</v>
      </c>
      <c r="H78" s="142">
        <v>0.2</v>
      </c>
      <c r="I78" s="142">
        <v>36</v>
      </c>
      <c r="J78" s="142"/>
      <c r="K78" s="15">
        <f>((2*F78)+(2*G78))*H78*I78</f>
        <v>11.520000000000003</v>
      </c>
    </row>
    <row r="79" spans="1:13" x14ac:dyDescent="0.3">
      <c r="A79" s="13"/>
      <c r="B79" s="153"/>
      <c r="C79" s="143"/>
      <c r="D79" s="144"/>
      <c r="E79" s="143"/>
      <c r="F79" s="142"/>
      <c r="G79" s="142"/>
      <c r="H79" s="142"/>
      <c r="I79" s="142"/>
      <c r="J79" s="142"/>
      <c r="K79" s="15"/>
    </row>
    <row r="80" spans="1:13" ht="40.799999999999997" x14ac:dyDescent="0.3">
      <c r="A80" s="13" t="s">
        <v>301</v>
      </c>
      <c r="B80" s="153" t="s">
        <v>297</v>
      </c>
      <c r="C80" s="143" t="s">
        <v>7</v>
      </c>
      <c r="D80" s="144" t="s">
        <v>298</v>
      </c>
      <c r="E80" s="143" t="s">
        <v>95</v>
      </c>
      <c r="F80" s="142"/>
      <c r="G80" s="142"/>
      <c r="H80" s="142"/>
      <c r="I80" s="142"/>
      <c r="J80" s="142"/>
      <c r="K80" s="16">
        <f>K81</f>
        <v>22.680000000000003</v>
      </c>
      <c r="M80" s="5" t="s">
        <v>296</v>
      </c>
    </row>
    <row r="81" spans="1:13" x14ac:dyDescent="0.3">
      <c r="A81" s="13"/>
      <c r="B81" s="153"/>
      <c r="C81" s="143"/>
      <c r="D81" s="144" t="s">
        <v>300</v>
      </c>
      <c r="E81" s="143"/>
      <c r="F81" s="142">
        <v>0.15</v>
      </c>
      <c r="G81" s="142">
        <v>0.55000000000000004</v>
      </c>
      <c r="H81" s="142">
        <v>0.45</v>
      </c>
      <c r="I81" s="142">
        <v>36</v>
      </c>
      <c r="J81" s="142"/>
      <c r="K81" s="15">
        <f>((2*F81)+(2*G81))*H81*I81</f>
        <v>22.680000000000003</v>
      </c>
    </row>
    <row r="82" spans="1:13" x14ac:dyDescent="0.3">
      <c r="A82" s="13"/>
      <c r="B82" s="153"/>
      <c r="C82" s="143"/>
      <c r="D82" s="144"/>
      <c r="E82" s="143"/>
      <c r="F82" s="142"/>
      <c r="G82" s="142"/>
      <c r="H82" s="142"/>
      <c r="I82" s="142"/>
      <c r="J82" s="142"/>
      <c r="K82" s="15"/>
    </row>
    <row r="83" spans="1:13" ht="30.6" x14ac:dyDescent="0.3">
      <c r="A83" s="13" t="s">
        <v>305</v>
      </c>
      <c r="B83" s="153" t="s">
        <v>303</v>
      </c>
      <c r="C83" s="143" t="s">
        <v>7</v>
      </c>
      <c r="D83" s="144" t="s">
        <v>304</v>
      </c>
      <c r="E83" s="143" t="s">
        <v>95</v>
      </c>
      <c r="F83" s="142"/>
      <c r="G83" s="142"/>
      <c r="H83" s="142"/>
      <c r="I83" s="142"/>
      <c r="J83" s="142"/>
      <c r="K83" s="16">
        <f>SUM(K84:K87)</f>
        <v>27.28</v>
      </c>
      <c r="M83" s="5" t="s">
        <v>302</v>
      </c>
    </row>
    <row r="84" spans="1:13" x14ac:dyDescent="0.3">
      <c r="A84" s="13"/>
      <c r="B84" s="153"/>
      <c r="C84" s="143"/>
      <c r="D84" s="161" t="s">
        <v>290</v>
      </c>
      <c r="E84" s="167"/>
      <c r="F84" s="145">
        <v>0.55000000000000004</v>
      </c>
      <c r="G84" s="163">
        <f>5.75+3.6</f>
        <v>9.35</v>
      </c>
      <c r="H84" s="163"/>
      <c r="I84" s="163">
        <v>2</v>
      </c>
      <c r="J84" s="142"/>
      <c r="K84" s="123">
        <f>(F84*G84)*I84</f>
        <v>10.285</v>
      </c>
    </row>
    <row r="85" spans="1:13" x14ac:dyDescent="0.3">
      <c r="A85" s="13"/>
      <c r="B85" s="153"/>
      <c r="C85" s="143"/>
      <c r="D85" s="161" t="s">
        <v>291</v>
      </c>
      <c r="E85" s="167"/>
      <c r="F85" s="145"/>
      <c r="G85" s="163">
        <f>0.55+4.15+5.75+0.55+5.2+3.6</f>
        <v>19.8</v>
      </c>
      <c r="H85" s="163">
        <v>0.1</v>
      </c>
      <c r="I85" s="163">
        <v>2</v>
      </c>
      <c r="J85" s="142"/>
      <c r="K85" s="123">
        <f>(G85*H85)*I85</f>
        <v>3.9600000000000004</v>
      </c>
    </row>
    <row r="86" spans="1:13" x14ac:dyDescent="0.3">
      <c r="A86" s="13"/>
      <c r="B86" s="153"/>
      <c r="C86" s="143"/>
      <c r="D86" s="161" t="s">
        <v>292</v>
      </c>
      <c r="E86" s="167"/>
      <c r="F86" s="145">
        <v>0.55000000000000004</v>
      </c>
      <c r="G86" s="163">
        <v>2.75</v>
      </c>
      <c r="H86" s="163"/>
      <c r="I86" s="163">
        <v>6</v>
      </c>
      <c r="J86" s="142"/>
      <c r="K86" s="123">
        <f>(F86*G86)*I86</f>
        <v>9.0750000000000011</v>
      </c>
    </row>
    <row r="87" spans="1:13" x14ac:dyDescent="0.3">
      <c r="A87" s="13"/>
      <c r="B87" s="153"/>
      <c r="C87" s="143"/>
      <c r="D87" s="161" t="s">
        <v>293</v>
      </c>
      <c r="E87" s="167"/>
      <c r="F87" s="145"/>
      <c r="G87" s="163">
        <f>0.55+2.75+0.55+2.75</f>
        <v>6.6</v>
      </c>
      <c r="H87" s="163">
        <v>0.1</v>
      </c>
      <c r="I87" s="163">
        <v>6</v>
      </c>
      <c r="J87" s="142"/>
      <c r="K87" s="123">
        <f>(G87*H87)*I87</f>
        <v>3.96</v>
      </c>
    </row>
    <row r="88" spans="1:13" x14ac:dyDescent="0.3">
      <c r="A88" s="13"/>
      <c r="B88" s="153"/>
      <c r="C88" s="143"/>
      <c r="D88" s="144"/>
      <c r="E88" s="143"/>
      <c r="F88" s="142"/>
      <c r="G88" s="142"/>
      <c r="H88" s="142"/>
      <c r="I88" s="142"/>
      <c r="J88" s="142"/>
      <c r="K88" s="15"/>
    </row>
    <row r="89" spans="1:13" ht="30.6" x14ac:dyDescent="0.3">
      <c r="A89" s="13" t="s">
        <v>306</v>
      </c>
      <c r="B89" s="143">
        <v>927.59</v>
      </c>
      <c r="C89" s="143" t="s">
        <v>7</v>
      </c>
      <c r="D89" s="144" t="s">
        <v>311</v>
      </c>
      <c r="E89" s="143" t="s">
        <v>96</v>
      </c>
      <c r="F89" s="142"/>
      <c r="G89" s="142"/>
      <c r="H89" s="142"/>
      <c r="I89" s="142"/>
      <c r="J89" s="142"/>
      <c r="K89" s="16">
        <f>K90</f>
        <v>41</v>
      </c>
      <c r="M89" s="5" t="s">
        <v>310</v>
      </c>
    </row>
    <row r="90" spans="1:13" x14ac:dyDescent="0.3">
      <c r="A90" s="13"/>
      <c r="B90" s="153"/>
      <c r="C90" s="143"/>
      <c r="D90" s="144" t="s">
        <v>300</v>
      </c>
      <c r="E90" s="143"/>
      <c r="F90" s="142"/>
      <c r="G90" s="142">
        <v>269.2</v>
      </c>
      <c r="H90" s="142"/>
      <c r="I90" s="142"/>
      <c r="J90" s="170">
        <v>0.154</v>
      </c>
      <c r="K90" s="15">
        <v>41</v>
      </c>
      <c r="L90" s="5">
        <f>G90*J90</f>
        <v>41.456800000000001</v>
      </c>
    </row>
    <row r="91" spans="1:13" x14ac:dyDescent="0.3">
      <c r="A91" s="13"/>
      <c r="B91" s="153"/>
      <c r="C91" s="143"/>
      <c r="D91" s="144"/>
      <c r="E91" s="143"/>
      <c r="F91" s="142"/>
      <c r="G91" s="142"/>
      <c r="H91" s="142"/>
      <c r="I91" s="142"/>
      <c r="J91" s="142"/>
      <c r="K91" s="15"/>
    </row>
    <row r="92" spans="1:13" ht="30.6" x14ac:dyDescent="0.3">
      <c r="A92" s="13" t="s">
        <v>313</v>
      </c>
      <c r="B92" s="153" t="s">
        <v>308</v>
      </c>
      <c r="C92" s="143" t="s">
        <v>7</v>
      </c>
      <c r="D92" s="144" t="s">
        <v>309</v>
      </c>
      <c r="E92" s="143" t="s">
        <v>96</v>
      </c>
      <c r="F92" s="142"/>
      <c r="G92" s="142"/>
      <c r="H92" s="142"/>
      <c r="I92" s="142"/>
      <c r="J92" s="142"/>
      <c r="K92" s="16">
        <f>K93</f>
        <v>141</v>
      </c>
      <c r="M92" s="5" t="s">
        <v>307</v>
      </c>
    </row>
    <row r="93" spans="1:13" x14ac:dyDescent="0.3">
      <c r="A93" s="13"/>
      <c r="B93" s="153"/>
      <c r="C93" s="143"/>
      <c r="D93" s="144" t="s">
        <v>312</v>
      </c>
      <c r="E93" s="143"/>
      <c r="F93" s="142"/>
      <c r="G93" s="142">
        <f>186+170</f>
        <v>356</v>
      </c>
      <c r="H93" s="142"/>
      <c r="I93" s="142"/>
      <c r="J93" s="170">
        <v>0.39500000000000002</v>
      </c>
      <c r="K93" s="15">
        <v>141</v>
      </c>
      <c r="L93" s="5">
        <f>G93*J93</f>
        <v>140.62</v>
      </c>
    </row>
    <row r="94" spans="1:13" x14ac:dyDescent="0.3">
      <c r="A94" s="13"/>
      <c r="B94" s="153"/>
      <c r="C94" s="143"/>
      <c r="D94" s="144"/>
      <c r="E94" s="143"/>
      <c r="F94" s="142"/>
      <c r="G94" s="142"/>
      <c r="H94" s="142"/>
      <c r="I94" s="142"/>
      <c r="J94" s="142"/>
      <c r="K94" s="15"/>
    </row>
    <row r="95" spans="1:13" ht="30.6" x14ac:dyDescent="0.3">
      <c r="A95" s="13" t="s">
        <v>317</v>
      </c>
      <c r="B95" s="153" t="s">
        <v>315</v>
      </c>
      <c r="C95" s="143" t="s">
        <v>7</v>
      </c>
      <c r="D95" s="144" t="s">
        <v>316</v>
      </c>
      <c r="E95" s="143" t="s">
        <v>96</v>
      </c>
      <c r="F95" s="142"/>
      <c r="G95" s="142"/>
      <c r="H95" s="142"/>
      <c r="I95" s="142"/>
      <c r="J95" s="142"/>
      <c r="K95" s="16">
        <f>K96</f>
        <v>100</v>
      </c>
      <c r="M95" s="5" t="s">
        <v>314</v>
      </c>
    </row>
    <row r="96" spans="1:13" x14ac:dyDescent="0.3">
      <c r="A96" s="13"/>
      <c r="B96" s="153"/>
      <c r="C96" s="143"/>
      <c r="D96" s="144" t="s">
        <v>300</v>
      </c>
      <c r="E96" s="143"/>
      <c r="F96" s="142"/>
      <c r="G96" s="142">
        <v>162</v>
      </c>
      <c r="H96" s="142"/>
      <c r="I96" s="142"/>
      <c r="J96" s="170">
        <v>0.61699999999999999</v>
      </c>
      <c r="K96" s="15">
        <v>100</v>
      </c>
      <c r="L96" s="5">
        <f>G96*J96</f>
        <v>99.953999999999994</v>
      </c>
    </row>
    <row r="97" spans="1:11" x14ac:dyDescent="0.3">
      <c r="A97" s="13"/>
      <c r="B97" s="153"/>
      <c r="C97" s="143"/>
      <c r="D97" s="144"/>
      <c r="E97" s="143"/>
      <c r="F97" s="142"/>
      <c r="G97" s="142"/>
      <c r="H97" s="142"/>
      <c r="I97" s="142"/>
      <c r="J97" s="142"/>
      <c r="K97" s="15"/>
    </row>
    <row r="98" spans="1:11" ht="30.6" x14ac:dyDescent="0.3">
      <c r="A98" s="13" t="s">
        <v>323</v>
      </c>
      <c r="B98" s="153" t="s">
        <v>318</v>
      </c>
      <c r="C98" s="143" t="s">
        <v>7</v>
      </c>
      <c r="D98" s="144" t="s">
        <v>138</v>
      </c>
      <c r="E98" s="143" t="s">
        <v>126</v>
      </c>
      <c r="F98" s="142"/>
      <c r="G98" s="142"/>
      <c r="H98" s="142"/>
      <c r="I98" s="142"/>
      <c r="J98" s="142"/>
      <c r="K98" s="16">
        <f>SUM(K100:K105)</f>
        <v>4.1364999999999998</v>
      </c>
    </row>
    <row r="99" spans="1:11" x14ac:dyDescent="0.3">
      <c r="A99" s="13"/>
      <c r="B99" s="153"/>
      <c r="C99" s="143"/>
      <c r="D99" s="171" t="s">
        <v>319</v>
      </c>
      <c r="E99" s="151"/>
      <c r="F99" s="142"/>
      <c r="G99" s="142"/>
      <c r="H99" s="142"/>
      <c r="I99" s="142"/>
      <c r="J99" s="142"/>
      <c r="K99" s="15"/>
    </row>
    <row r="100" spans="1:11" x14ac:dyDescent="0.3">
      <c r="A100" s="13"/>
      <c r="B100" s="153"/>
      <c r="C100" s="143"/>
      <c r="D100" s="144" t="s">
        <v>299</v>
      </c>
      <c r="E100" s="143"/>
      <c r="F100" s="142">
        <v>0.2</v>
      </c>
      <c r="G100" s="142">
        <v>0.6</v>
      </c>
      <c r="H100" s="142">
        <v>0.2</v>
      </c>
      <c r="I100" s="142">
        <v>36</v>
      </c>
      <c r="J100" s="142"/>
      <c r="K100" s="15">
        <f>(F100*G100*H100)*I100</f>
        <v>0.86399999999999999</v>
      </c>
    </row>
    <row r="101" spans="1:11" x14ac:dyDescent="0.3">
      <c r="A101" s="13"/>
      <c r="B101" s="153"/>
      <c r="C101" s="143"/>
      <c r="D101" s="171" t="s">
        <v>320</v>
      </c>
      <c r="E101" s="151"/>
      <c r="F101" s="142"/>
      <c r="G101" s="142"/>
      <c r="H101" s="142"/>
      <c r="I101" s="142"/>
      <c r="J101" s="142"/>
      <c r="K101" s="15"/>
    </row>
    <row r="102" spans="1:11" x14ac:dyDescent="0.3">
      <c r="A102" s="13"/>
      <c r="B102" s="153"/>
      <c r="C102" s="143"/>
      <c r="D102" s="144" t="s">
        <v>300</v>
      </c>
      <c r="E102" s="151"/>
      <c r="F102" s="142">
        <v>0.15</v>
      </c>
      <c r="G102" s="142">
        <v>0.55000000000000004</v>
      </c>
      <c r="H102" s="142">
        <v>0.45</v>
      </c>
      <c r="I102" s="142">
        <v>36</v>
      </c>
      <c r="J102" s="142"/>
      <c r="K102" s="15">
        <f t="shared" ref="K102:K105" si="9">(F102*G102*H102)*I102</f>
        <v>1.3365000000000002</v>
      </c>
    </row>
    <row r="103" spans="1:11" x14ac:dyDescent="0.3">
      <c r="A103" s="13"/>
      <c r="B103" s="153"/>
      <c r="C103" s="143"/>
      <c r="D103" s="171" t="s">
        <v>321</v>
      </c>
      <c r="E103" s="151"/>
      <c r="F103" s="142"/>
      <c r="G103" s="142"/>
      <c r="H103" s="142"/>
      <c r="I103" s="142"/>
      <c r="J103" s="142"/>
      <c r="K103" s="15"/>
    </row>
    <row r="104" spans="1:11" x14ac:dyDescent="0.3">
      <c r="A104" s="13"/>
      <c r="B104" s="153"/>
      <c r="C104" s="143"/>
      <c r="D104" s="161" t="s">
        <v>290</v>
      </c>
      <c r="E104" s="167"/>
      <c r="F104" s="145">
        <v>0.55000000000000004</v>
      </c>
      <c r="G104" s="163">
        <f>5.75+3.6</f>
        <v>9.35</v>
      </c>
      <c r="H104" s="163">
        <v>0.1</v>
      </c>
      <c r="I104" s="163">
        <v>2</v>
      </c>
      <c r="J104" s="142"/>
      <c r="K104" s="15">
        <f t="shared" si="9"/>
        <v>1.0285</v>
      </c>
    </row>
    <row r="105" spans="1:11" x14ac:dyDescent="0.3">
      <c r="A105" s="13"/>
      <c r="B105" s="153"/>
      <c r="C105" s="143"/>
      <c r="D105" s="161" t="s">
        <v>292</v>
      </c>
      <c r="E105" s="167"/>
      <c r="F105" s="145">
        <v>0.55000000000000004</v>
      </c>
      <c r="G105" s="163">
        <v>2.75</v>
      </c>
      <c r="H105" s="163">
        <v>0.1</v>
      </c>
      <c r="I105" s="163">
        <v>6</v>
      </c>
      <c r="J105" s="142"/>
      <c r="K105" s="15">
        <f t="shared" si="9"/>
        <v>0.9075000000000002</v>
      </c>
    </row>
    <row r="106" spans="1:11" x14ac:dyDescent="0.3">
      <c r="A106" s="13"/>
      <c r="B106" s="153"/>
      <c r="C106" s="143"/>
      <c r="D106" s="144"/>
      <c r="E106" s="143"/>
      <c r="F106" s="142"/>
      <c r="G106" s="142"/>
      <c r="H106" s="142"/>
      <c r="I106" s="142"/>
      <c r="J106" s="142"/>
      <c r="K106" s="15"/>
    </row>
    <row r="107" spans="1:11" ht="20.399999999999999" x14ac:dyDescent="0.3">
      <c r="A107" s="13" t="s">
        <v>324</v>
      </c>
      <c r="B107" s="143">
        <v>92873</v>
      </c>
      <c r="C107" s="143" t="s">
        <v>7</v>
      </c>
      <c r="D107" s="144" t="s">
        <v>322</v>
      </c>
      <c r="E107" s="143" t="s">
        <v>126</v>
      </c>
      <c r="F107" s="142"/>
      <c r="G107" s="142"/>
      <c r="H107" s="142"/>
      <c r="I107" s="142"/>
      <c r="J107" s="142"/>
      <c r="K107" s="16">
        <f>SUM(K109:K114)</f>
        <v>4.1364999999999998</v>
      </c>
    </row>
    <row r="108" spans="1:11" x14ac:dyDescent="0.3">
      <c r="A108" s="13"/>
      <c r="B108" s="153"/>
      <c r="C108" s="143"/>
      <c r="D108" s="171" t="s">
        <v>319</v>
      </c>
      <c r="E108" s="151"/>
      <c r="F108" s="142"/>
      <c r="G108" s="142"/>
      <c r="H108" s="142"/>
      <c r="I108" s="142"/>
      <c r="J108" s="142"/>
      <c r="K108" s="15"/>
    </row>
    <row r="109" spans="1:11" x14ac:dyDescent="0.3">
      <c r="A109" s="13"/>
      <c r="B109" s="153"/>
      <c r="C109" s="143"/>
      <c r="D109" s="144" t="s">
        <v>299</v>
      </c>
      <c r="E109" s="143"/>
      <c r="F109" s="142">
        <v>0.2</v>
      </c>
      <c r="G109" s="142">
        <v>0.6</v>
      </c>
      <c r="H109" s="142">
        <v>0.2</v>
      </c>
      <c r="I109" s="142">
        <v>36</v>
      </c>
      <c r="J109" s="142"/>
      <c r="K109" s="15">
        <f>(F109*G109*H109)*I109</f>
        <v>0.86399999999999999</v>
      </c>
    </row>
    <row r="110" spans="1:11" x14ac:dyDescent="0.3">
      <c r="A110" s="13"/>
      <c r="B110" s="153"/>
      <c r="C110" s="143"/>
      <c r="D110" s="171" t="s">
        <v>320</v>
      </c>
      <c r="E110" s="151"/>
      <c r="F110" s="142"/>
      <c r="G110" s="142"/>
      <c r="H110" s="142"/>
      <c r="I110" s="142"/>
      <c r="J110" s="142"/>
      <c r="K110" s="15"/>
    </row>
    <row r="111" spans="1:11" x14ac:dyDescent="0.3">
      <c r="A111" s="13"/>
      <c r="B111" s="153"/>
      <c r="C111" s="143"/>
      <c r="D111" s="144" t="s">
        <v>300</v>
      </c>
      <c r="E111" s="151"/>
      <c r="F111" s="142">
        <v>0.15</v>
      </c>
      <c r="G111" s="142">
        <v>0.55000000000000004</v>
      </c>
      <c r="H111" s="142">
        <v>0.45</v>
      </c>
      <c r="I111" s="142">
        <v>36</v>
      </c>
      <c r="J111" s="142"/>
      <c r="K111" s="15">
        <f t="shared" ref="K111" si="10">(F111*G111*H111)*I111</f>
        <v>1.3365000000000002</v>
      </c>
    </row>
    <row r="112" spans="1:11" x14ac:dyDescent="0.3">
      <c r="A112" s="13"/>
      <c r="B112" s="153"/>
      <c r="C112" s="143"/>
      <c r="D112" s="171" t="s">
        <v>321</v>
      </c>
      <c r="E112" s="151"/>
      <c r="F112" s="142"/>
      <c r="G112" s="142"/>
      <c r="H112" s="142"/>
      <c r="I112" s="142"/>
      <c r="J112" s="142"/>
      <c r="K112" s="15"/>
    </row>
    <row r="113" spans="1:11" x14ac:dyDescent="0.3">
      <c r="A113" s="13"/>
      <c r="B113" s="153"/>
      <c r="C113" s="143"/>
      <c r="D113" s="161" t="s">
        <v>290</v>
      </c>
      <c r="E113" s="167"/>
      <c r="F113" s="145">
        <v>0.55000000000000004</v>
      </c>
      <c r="G113" s="163">
        <f>5.75+3.6</f>
        <v>9.35</v>
      </c>
      <c r="H113" s="163">
        <v>0.1</v>
      </c>
      <c r="I113" s="163">
        <v>2</v>
      </c>
      <c r="J113" s="142"/>
      <c r="K113" s="15">
        <f t="shared" ref="K113:K114" si="11">(F113*G113*H113)*I113</f>
        <v>1.0285</v>
      </c>
    </row>
    <row r="114" spans="1:11" x14ac:dyDescent="0.3">
      <c r="A114" s="13"/>
      <c r="B114" s="153"/>
      <c r="C114" s="143"/>
      <c r="D114" s="161" t="s">
        <v>292</v>
      </c>
      <c r="E114" s="167"/>
      <c r="F114" s="145">
        <v>0.55000000000000004</v>
      </c>
      <c r="G114" s="163">
        <v>2.75</v>
      </c>
      <c r="H114" s="163">
        <v>0.1</v>
      </c>
      <c r="I114" s="163">
        <v>6</v>
      </c>
      <c r="J114" s="142"/>
      <c r="K114" s="15">
        <f t="shared" si="11"/>
        <v>0.9075000000000002</v>
      </c>
    </row>
    <row r="115" spans="1:11" x14ac:dyDescent="0.3">
      <c r="A115" s="13"/>
      <c r="B115" s="153"/>
      <c r="C115" s="143"/>
      <c r="D115" s="144"/>
      <c r="E115" s="143"/>
      <c r="F115" s="142"/>
      <c r="G115" s="142"/>
      <c r="H115" s="142"/>
      <c r="I115" s="142"/>
      <c r="J115" s="142"/>
      <c r="K115" s="15"/>
    </row>
    <row r="116" spans="1:11" x14ac:dyDescent="0.3">
      <c r="A116" s="107" t="s">
        <v>15</v>
      </c>
      <c r="B116" s="172"/>
      <c r="C116" s="173"/>
      <c r="D116" s="174" t="s">
        <v>325</v>
      </c>
      <c r="E116" s="175"/>
      <c r="F116" s="176"/>
      <c r="G116" s="176"/>
      <c r="H116" s="176"/>
      <c r="I116" s="176"/>
      <c r="J116" s="176"/>
      <c r="K116" s="108"/>
    </row>
    <row r="117" spans="1:11" ht="40.799999999999997" x14ac:dyDescent="0.3">
      <c r="A117" s="12" t="s">
        <v>16</v>
      </c>
      <c r="B117" s="184">
        <v>87894</v>
      </c>
      <c r="C117" s="143" t="s">
        <v>7</v>
      </c>
      <c r="D117" s="186" t="s">
        <v>141</v>
      </c>
      <c r="E117" s="207" t="s">
        <v>95</v>
      </c>
      <c r="F117" s="142"/>
      <c r="G117" s="142"/>
      <c r="H117" s="142"/>
      <c r="I117" s="142"/>
      <c r="J117" s="142"/>
      <c r="K117" s="76">
        <f>SUM(K118:K124)</f>
        <v>164.30399999999997</v>
      </c>
    </row>
    <row r="118" spans="1:11" x14ac:dyDescent="0.2">
      <c r="A118" s="77"/>
      <c r="B118" s="165"/>
      <c r="C118" s="166"/>
      <c r="D118" s="161" t="s">
        <v>278</v>
      </c>
      <c r="E118" s="162"/>
      <c r="F118" s="163"/>
      <c r="G118" s="163">
        <v>29.4</v>
      </c>
      <c r="H118" s="163">
        <f>(1.2+1.4)/2</f>
        <v>1.2999999999999998</v>
      </c>
      <c r="I118" s="163"/>
      <c r="J118" s="163"/>
      <c r="K118" s="123">
        <f>G118*H118</f>
        <v>38.219999999999992</v>
      </c>
    </row>
    <row r="119" spans="1:11" x14ac:dyDescent="0.2">
      <c r="A119" s="77"/>
      <c r="B119" s="165"/>
      <c r="C119" s="166"/>
      <c r="D119" s="161" t="s">
        <v>279</v>
      </c>
      <c r="E119" s="162"/>
      <c r="F119" s="163"/>
      <c r="G119" s="163">
        <v>24.8</v>
      </c>
      <c r="H119" s="163">
        <v>1.1000000000000001</v>
      </c>
      <c r="I119" s="163"/>
      <c r="J119" s="163"/>
      <c r="K119" s="123">
        <f t="shared" ref="K119:K123" si="12">G119*H119</f>
        <v>27.280000000000005</v>
      </c>
    </row>
    <row r="120" spans="1:11" x14ac:dyDescent="0.2">
      <c r="A120" s="77"/>
      <c r="B120" s="165"/>
      <c r="C120" s="166"/>
      <c r="D120" s="161" t="s">
        <v>280</v>
      </c>
      <c r="E120" s="162"/>
      <c r="F120" s="163"/>
      <c r="G120" s="163">
        <v>29.3</v>
      </c>
      <c r="H120" s="163">
        <f>(1+0.6)/2</f>
        <v>0.8</v>
      </c>
      <c r="I120" s="163"/>
      <c r="J120" s="163"/>
      <c r="K120" s="123">
        <f t="shared" si="12"/>
        <v>23.44</v>
      </c>
    </row>
    <row r="121" spans="1:11" x14ac:dyDescent="0.2">
      <c r="A121" s="77"/>
      <c r="B121" s="165"/>
      <c r="C121" s="166"/>
      <c r="D121" s="161" t="s">
        <v>281</v>
      </c>
      <c r="E121" s="162"/>
      <c r="F121" s="163"/>
      <c r="G121" s="163">
        <v>16.04</v>
      </c>
      <c r="H121" s="163">
        <v>0.8</v>
      </c>
      <c r="I121" s="163"/>
      <c r="J121" s="163"/>
      <c r="K121" s="123">
        <f t="shared" si="12"/>
        <v>12.832000000000001</v>
      </c>
    </row>
    <row r="122" spans="1:11" x14ac:dyDescent="0.2">
      <c r="A122" s="77"/>
      <c r="B122" s="165"/>
      <c r="C122" s="166"/>
      <c r="D122" s="161" t="s">
        <v>282</v>
      </c>
      <c r="E122" s="162"/>
      <c r="F122" s="163"/>
      <c r="G122" s="163">
        <v>34.200000000000003</v>
      </c>
      <c r="H122" s="163">
        <v>1</v>
      </c>
      <c r="I122" s="163"/>
      <c r="J122" s="163"/>
      <c r="K122" s="123">
        <f t="shared" si="12"/>
        <v>34.200000000000003</v>
      </c>
    </row>
    <row r="123" spans="1:11" x14ac:dyDescent="0.2">
      <c r="A123" s="77"/>
      <c r="B123" s="165"/>
      <c r="C123" s="166"/>
      <c r="D123" s="161" t="s">
        <v>283</v>
      </c>
      <c r="E123" s="162"/>
      <c r="F123" s="163"/>
      <c r="G123" s="163">
        <v>17.52</v>
      </c>
      <c r="H123" s="163">
        <v>0.6</v>
      </c>
      <c r="I123" s="163"/>
      <c r="J123" s="163"/>
      <c r="K123" s="123">
        <f t="shared" si="12"/>
        <v>10.511999999999999</v>
      </c>
    </row>
    <row r="124" spans="1:11" x14ac:dyDescent="0.2">
      <c r="A124" s="77"/>
      <c r="B124" s="165"/>
      <c r="C124" s="166"/>
      <c r="D124" s="161" t="s">
        <v>286</v>
      </c>
      <c r="E124" s="162"/>
      <c r="F124" s="145"/>
      <c r="G124" s="163">
        <v>1.1000000000000001</v>
      </c>
      <c r="H124" s="163">
        <v>0.45</v>
      </c>
      <c r="I124" s="163">
        <v>36</v>
      </c>
      <c r="J124" s="163"/>
      <c r="K124" s="123">
        <f>(G124*H124)*I124</f>
        <v>17.82</v>
      </c>
    </row>
    <row r="125" spans="1:11" x14ac:dyDescent="0.2">
      <c r="A125" s="77"/>
      <c r="B125" s="165"/>
      <c r="C125" s="166"/>
      <c r="D125" s="161"/>
      <c r="E125" s="162"/>
      <c r="F125" s="145"/>
      <c r="G125" s="163"/>
      <c r="H125" s="163"/>
      <c r="I125" s="163"/>
      <c r="J125" s="163"/>
      <c r="K125" s="123"/>
    </row>
    <row r="126" spans="1:11" ht="40.799999999999997" x14ac:dyDescent="0.3">
      <c r="A126" s="13" t="s">
        <v>18</v>
      </c>
      <c r="B126" s="153">
        <v>87794</v>
      </c>
      <c r="C126" s="143" t="s">
        <v>7</v>
      </c>
      <c r="D126" s="161" t="s">
        <v>142</v>
      </c>
      <c r="E126" s="207" t="s">
        <v>95</v>
      </c>
      <c r="F126" s="142"/>
      <c r="G126" s="142"/>
      <c r="H126" s="142"/>
      <c r="I126" s="142"/>
      <c r="J126" s="142"/>
      <c r="K126" s="76">
        <f>SUM(K127:K133)</f>
        <v>164.30399999999997</v>
      </c>
    </row>
    <row r="127" spans="1:11" x14ac:dyDescent="0.3">
      <c r="A127" s="13"/>
      <c r="B127" s="153"/>
      <c r="C127" s="143"/>
      <c r="D127" s="161" t="s">
        <v>278</v>
      </c>
      <c r="E127" s="167"/>
      <c r="F127" s="163"/>
      <c r="G127" s="163">
        <v>29.4</v>
      </c>
      <c r="H127" s="163">
        <f>(1.2+1.4)/2</f>
        <v>1.2999999999999998</v>
      </c>
      <c r="I127" s="163"/>
      <c r="J127" s="163"/>
      <c r="K127" s="123">
        <f>G127*H127</f>
        <v>38.219999999999992</v>
      </c>
    </row>
    <row r="128" spans="1:11" x14ac:dyDescent="0.3">
      <c r="A128" s="13"/>
      <c r="B128" s="153"/>
      <c r="C128" s="143"/>
      <c r="D128" s="161" t="s">
        <v>279</v>
      </c>
      <c r="E128" s="167"/>
      <c r="F128" s="163"/>
      <c r="G128" s="163">
        <v>24.8</v>
      </c>
      <c r="H128" s="163">
        <v>1.1000000000000001</v>
      </c>
      <c r="I128" s="163"/>
      <c r="J128" s="163"/>
      <c r="K128" s="123">
        <f t="shared" ref="K128:K132" si="13">G128*H128</f>
        <v>27.280000000000005</v>
      </c>
    </row>
    <row r="129" spans="1:13" x14ac:dyDescent="0.3">
      <c r="A129" s="13"/>
      <c r="B129" s="153"/>
      <c r="C129" s="143"/>
      <c r="D129" s="161" t="s">
        <v>280</v>
      </c>
      <c r="E129" s="167"/>
      <c r="F129" s="163"/>
      <c r="G129" s="163">
        <v>29.3</v>
      </c>
      <c r="H129" s="163">
        <f>(1+0.6)/2</f>
        <v>0.8</v>
      </c>
      <c r="I129" s="163"/>
      <c r="J129" s="163"/>
      <c r="K129" s="123">
        <f t="shared" si="13"/>
        <v>23.44</v>
      </c>
    </row>
    <row r="130" spans="1:13" x14ac:dyDescent="0.3">
      <c r="A130" s="13"/>
      <c r="B130" s="153"/>
      <c r="C130" s="143"/>
      <c r="D130" s="161" t="s">
        <v>281</v>
      </c>
      <c r="E130" s="167"/>
      <c r="F130" s="163"/>
      <c r="G130" s="163">
        <v>16.04</v>
      </c>
      <c r="H130" s="163">
        <v>0.8</v>
      </c>
      <c r="I130" s="163"/>
      <c r="J130" s="163"/>
      <c r="K130" s="123">
        <f t="shared" si="13"/>
        <v>12.832000000000001</v>
      </c>
    </row>
    <row r="131" spans="1:13" x14ac:dyDescent="0.3">
      <c r="A131" s="13"/>
      <c r="B131" s="153"/>
      <c r="C131" s="143"/>
      <c r="D131" s="161" t="s">
        <v>282</v>
      </c>
      <c r="E131" s="167"/>
      <c r="F131" s="163"/>
      <c r="G131" s="163">
        <v>34.200000000000003</v>
      </c>
      <c r="H131" s="163">
        <v>1</v>
      </c>
      <c r="I131" s="163"/>
      <c r="J131" s="163"/>
      <c r="K131" s="123">
        <f t="shared" si="13"/>
        <v>34.200000000000003</v>
      </c>
    </row>
    <row r="132" spans="1:13" x14ac:dyDescent="0.3">
      <c r="A132" s="13"/>
      <c r="B132" s="153"/>
      <c r="C132" s="143"/>
      <c r="D132" s="161" t="s">
        <v>283</v>
      </c>
      <c r="E132" s="167"/>
      <c r="F132" s="163"/>
      <c r="G132" s="163">
        <v>17.52</v>
      </c>
      <c r="H132" s="163">
        <v>0.6</v>
      </c>
      <c r="I132" s="163"/>
      <c r="J132" s="163"/>
      <c r="K132" s="123">
        <f t="shared" si="13"/>
        <v>10.511999999999999</v>
      </c>
    </row>
    <row r="133" spans="1:13" x14ac:dyDescent="0.3">
      <c r="A133" s="13"/>
      <c r="B133" s="153"/>
      <c r="C133" s="143"/>
      <c r="D133" s="161" t="s">
        <v>286</v>
      </c>
      <c r="E133" s="167"/>
      <c r="F133" s="145"/>
      <c r="G133" s="163">
        <v>1.1000000000000001</v>
      </c>
      <c r="H133" s="163">
        <v>0.45</v>
      </c>
      <c r="I133" s="163">
        <v>36</v>
      </c>
      <c r="J133" s="163"/>
      <c r="K133" s="123">
        <f>(G133*H133)*I133</f>
        <v>17.82</v>
      </c>
    </row>
    <row r="134" spans="1:13" x14ac:dyDescent="0.3">
      <c r="A134" s="13"/>
      <c r="B134" s="153"/>
      <c r="C134" s="143"/>
      <c r="D134" s="161"/>
      <c r="E134" s="167"/>
      <c r="F134" s="145"/>
      <c r="G134" s="163"/>
      <c r="H134" s="163"/>
      <c r="I134" s="163"/>
      <c r="J134" s="163"/>
      <c r="K134" s="123"/>
    </row>
    <row r="135" spans="1:13" ht="30.6" x14ac:dyDescent="0.3">
      <c r="A135" s="13" t="s">
        <v>19</v>
      </c>
      <c r="B135" s="153" t="s">
        <v>288</v>
      </c>
      <c r="C135" s="143" t="s">
        <v>7</v>
      </c>
      <c r="D135" s="161" t="s">
        <v>289</v>
      </c>
      <c r="E135" s="168" t="s">
        <v>95</v>
      </c>
      <c r="F135" s="145"/>
      <c r="G135" s="163"/>
      <c r="H135" s="163"/>
      <c r="I135" s="163"/>
      <c r="J135" s="163"/>
      <c r="K135" s="76">
        <f>SUM(K136:K140)</f>
        <v>49.960000000000008</v>
      </c>
      <c r="M135" s="5" t="s">
        <v>287</v>
      </c>
    </row>
    <row r="136" spans="1:13" x14ac:dyDescent="0.3">
      <c r="A136" s="13"/>
      <c r="B136" s="153"/>
      <c r="C136" s="143"/>
      <c r="D136" s="161" t="s">
        <v>290</v>
      </c>
      <c r="E136" s="167"/>
      <c r="F136" s="145">
        <v>0.55000000000000004</v>
      </c>
      <c r="G136" s="163">
        <f>5.75+3.6</f>
        <v>9.35</v>
      </c>
      <c r="H136" s="163"/>
      <c r="I136" s="163">
        <v>2</v>
      </c>
      <c r="J136" s="163"/>
      <c r="K136" s="123">
        <f>(F136*G136)*I136</f>
        <v>10.285</v>
      </c>
    </row>
    <row r="137" spans="1:13" x14ac:dyDescent="0.3">
      <c r="A137" s="13"/>
      <c r="B137" s="153"/>
      <c r="C137" s="143"/>
      <c r="D137" s="161" t="s">
        <v>291</v>
      </c>
      <c r="E137" s="167"/>
      <c r="F137" s="145"/>
      <c r="G137" s="163">
        <f>0.55+4.15+5.75+0.55+5.2+3.6</f>
        <v>19.8</v>
      </c>
      <c r="H137" s="163">
        <v>0.1</v>
      </c>
      <c r="I137" s="163">
        <v>2</v>
      </c>
      <c r="J137" s="163"/>
      <c r="K137" s="123">
        <f>(G137*H137)*I137</f>
        <v>3.9600000000000004</v>
      </c>
    </row>
    <row r="138" spans="1:13" x14ac:dyDescent="0.3">
      <c r="A138" s="13"/>
      <c r="B138" s="153"/>
      <c r="C138" s="143"/>
      <c r="D138" s="161" t="s">
        <v>292</v>
      </c>
      <c r="E138" s="167"/>
      <c r="F138" s="145">
        <v>0.55000000000000004</v>
      </c>
      <c r="G138" s="163">
        <v>2.75</v>
      </c>
      <c r="H138" s="163"/>
      <c r="I138" s="163">
        <v>6</v>
      </c>
      <c r="J138" s="163"/>
      <c r="K138" s="123">
        <f>(F138*G138)*I138</f>
        <v>9.0750000000000011</v>
      </c>
    </row>
    <row r="139" spans="1:13" x14ac:dyDescent="0.3">
      <c r="A139" s="13"/>
      <c r="B139" s="153"/>
      <c r="C139" s="143"/>
      <c r="D139" s="161" t="s">
        <v>293</v>
      </c>
      <c r="E139" s="167"/>
      <c r="F139" s="145"/>
      <c r="G139" s="163">
        <f>0.55+2.75+0.55+2.75</f>
        <v>6.6</v>
      </c>
      <c r="H139" s="163">
        <v>0.1</v>
      </c>
      <c r="I139" s="163">
        <v>6</v>
      </c>
      <c r="J139" s="163"/>
      <c r="K139" s="123">
        <f>(G139*H139)*I139</f>
        <v>3.96</v>
      </c>
    </row>
    <row r="140" spans="1:13" x14ac:dyDescent="0.3">
      <c r="A140" s="13"/>
      <c r="B140" s="153"/>
      <c r="C140" s="143"/>
      <c r="D140" s="161" t="s">
        <v>294</v>
      </c>
      <c r="E140" s="167"/>
      <c r="F140" s="145">
        <v>0.15</v>
      </c>
      <c r="G140" s="163">
        <v>0.55000000000000004</v>
      </c>
      <c r="H140" s="163">
        <v>0.45</v>
      </c>
      <c r="I140" s="163">
        <v>36</v>
      </c>
      <c r="J140" s="163"/>
      <c r="K140" s="123">
        <f>((2*F140)+(2*G140))*H140*I140</f>
        <v>22.680000000000003</v>
      </c>
    </row>
    <row r="141" spans="1:13" x14ac:dyDescent="0.3">
      <c r="A141" s="13"/>
      <c r="B141" s="153"/>
      <c r="C141" s="143"/>
      <c r="D141" s="161"/>
      <c r="E141" s="167"/>
      <c r="F141" s="145"/>
      <c r="G141" s="163"/>
      <c r="H141" s="163"/>
      <c r="I141" s="163"/>
      <c r="J141" s="163"/>
      <c r="K141" s="123"/>
    </row>
    <row r="142" spans="1:13" x14ac:dyDescent="0.3">
      <c r="A142" s="107" t="s">
        <v>20</v>
      </c>
      <c r="B142" s="172"/>
      <c r="C142" s="173"/>
      <c r="D142" s="174" t="s">
        <v>326</v>
      </c>
      <c r="E142" s="175"/>
      <c r="F142" s="176"/>
      <c r="G142" s="176"/>
      <c r="H142" s="176"/>
      <c r="I142" s="176"/>
      <c r="J142" s="176"/>
      <c r="K142" s="108"/>
    </row>
    <row r="143" spans="1:13" ht="20.399999999999999" x14ac:dyDescent="0.3">
      <c r="A143" s="13" t="s">
        <v>21</v>
      </c>
      <c r="B143" s="153">
        <v>95241</v>
      </c>
      <c r="C143" s="143" t="s">
        <v>7</v>
      </c>
      <c r="D143" s="161" t="s">
        <v>233</v>
      </c>
      <c r="E143" s="207" t="s">
        <v>95</v>
      </c>
      <c r="F143" s="142"/>
      <c r="G143" s="142"/>
      <c r="H143" s="142"/>
      <c r="I143" s="142"/>
      <c r="J143" s="142"/>
      <c r="K143" s="76">
        <f>SUM(K144)</f>
        <v>57.75</v>
      </c>
    </row>
    <row r="144" spans="1:13" x14ac:dyDescent="0.3">
      <c r="A144" s="13"/>
      <c r="B144" s="153"/>
      <c r="C144" s="143"/>
      <c r="D144" s="161" t="s">
        <v>330</v>
      </c>
      <c r="E144" s="162"/>
      <c r="F144" s="163">
        <v>7.5</v>
      </c>
      <c r="G144" s="163">
        <v>7.7</v>
      </c>
      <c r="H144" s="142"/>
      <c r="I144" s="142"/>
      <c r="J144" s="142"/>
      <c r="K144" s="15">
        <f>(F144*G144)</f>
        <v>57.75</v>
      </c>
    </row>
    <row r="145" spans="1:16" x14ac:dyDescent="0.3">
      <c r="A145" s="14"/>
      <c r="B145" s="156"/>
      <c r="C145" s="151"/>
      <c r="D145" s="154"/>
      <c r="E145" s="178"/>
      <c r="F145" s="142"/>
      <c r="G145" s="142"/>
      <c r="H145" s="142"/>
      <c r="I145" s="142"/>
      <c r="J145" s="142"/>
      <c r="K145" s="15"/>
    </row>
    <row r="146" spans="1:16" ht="30.6" x14ac:dyDescent="0.3">
      <c r="A146" s="13" t="s">
        <v>22</v>
      </c>
      <c r="B146" s="156" t="s">
        <v>332</v>
      </c>
      <c r="C146" s="143" t="s">
        <v>7</v>
      </c>
      <c r="D146" s="179" t="s">
        <v>234</v>
      </c>
      <c r="E146" s="207" t="s">
        <v>95</v>
      </c>
      <c r="F146" s="142"/>
      <c r="G146" s="142"/>
      <c r="H146" s="142"/>
      <c r="I146" s="142"/>
      <c r="J146" s="142"/>
      <c r="K146" s="76">
        <f>SUM(K147:K149)</f>
        <v>72.87</v>
      </c>
    </row>
    <row r="147" spans="1:16" x14ac:dyDescent="0.3">
      <c r="A147" s="12"/>
      <c r="B147" s="184"/>
      <c r="C147" s="143"/>
      <c r="D147" s="186" t="s">
        <v>331</v>
      </c>
      <c r="E147" s="178"/>
      <c r="F147" s="142">
        <v>1.2</v>
      </c>
      <c r="G147" s="142">
        <v>4.8</v>
      </c>
      <c r="H147" s="148"/>
      <c r="I147" s="148"/>
      <c r="J147" s="148"/>
      <c r="K147" s="15">
        <f>F147*G147</f>
        <v>5.76</v>
      </c>
    </row>
    <row r="148" spans="1:16" x14ac:dyDescent="0.3">
      <c r="A148" s="12"/>
      <c r="B148" s="184"/>
      <c r="C148" s="143"/>
      <c r="D148" s="179" t="s">
        <v>330</v>
      </c>
      <c r="E148" s="178"/>
      <c r="F148" s="155" t="s">
        <v>240</v>
      </c>
      <c r="G148" s="145"/>
      <c r="H148" s="148"/>
      <c r="I148" s="148"/>
      <c r="J148" s="148"/>
      <c r="K148" s="15">
        <v>51.99</v>
      </c>
    </row>
    <row r="149" spans="1:16" x14ac:dyDescent="0.3">
      <c r="A149" s="12"/>
      <c r="B149" s="184"/>
      <c r="C149" s="143"/>
      <c r="D149" s="179" t="s">
        <v>351</v>
      </c>
      <c r="E149" s="178"/>
      <c r="F149" s="155" t="s">
        <v>240</v>
      </c>
      <c r="G149" s="145">
        <v>15.17</v>
      </c>
      <c r="H149" s="148"/>
      <c r="I149" s="148"/>
      <c r="J149" s="148"/>
      <c r="K149" s="15">
        <v>15.12</v>
      </c>
    </row>
    <row r="150" spans="1:16" x14ac:dyDescent="0.3">
      <c r="A150" s="14"/>
      <c r="B150" s="184"/>
      <c r="C150" s="143"/>
      <c r="D150" s="186"/>
      <c r="E150" s="178"/>
      <c r="F150" s="142"/>
      <c r="G150" s="142"/>
      <c r="H150" s="142"/>
      <c r="I150" s="142"/>
      <c r="J150" s="142"/>
      <c r="K150" s="15"/>
    </row>
    <row r="151" spans="1:16" ht="51" x14ac:dyDescent="0.3">
      <c r="A151" s="14" t="s">
        <v>327</v>
      </c>
      <c r="B151" s="156">
        <v>94275</v>
      </c>
      <c r="C151" s="151" t="s">
        <v>7</v>
      </c>
      <c r="D151" s="179" t="s">
        <v>224</v>
      </c>
      <c r="E151" s="178" t="s">
        <v>97</v>
      </c>
      <c r="F151" s="142"/>
      <c r="G151" s="142"/>
      <c r="H151" s="142"/>
      <c r="I151" s="142"/>
      <c r="J151" s="142"/>
      <c r="K151" s="16">
        <f>K152</f>
        <v>91.220000000000013</v>
      </c>
    </row>
    <row r="152" spans="1:16" x14ac:dyDescent="0.3">
      <c r="A152" s="14"/>
      <c r="B152" s="156"/>
      <c r="C152" s="151"/>
      <c r="D152" s="179" t="s">
        <v>333</v>
      </c>
      <c r="E152" s="178"/>
      <c r="F152" s="155" t="s">
        <v>242</v>
      </c>
      <c r="G152" s="142">
        <f>(2.38+2.84+15.66+6.78+2.52+3.6+2.1+8.16+2.77+15.93+2.73+0.12+25.63)</f>
        <v>91.220000000000013</v>
      </c>
      <c r="H152" s="142"/>
      <c r="I152" s="142"/>
      <c r="J152" s="142"/>
      <c r="K152" s="15">
        <f>G152</f>
        <v>91.220000000000013</v>
      </c>
    </row>
    <row r="153" spans="1:16" x14ac:dyDescent="0.3">
      <c r="A153" s="14"/>
      <c r="B153" s="156"/>
      <c r="C153" s="151"/>
      <c r="D153" s="186"/>
      <c r="E153" s="178"/>
      <c r="F153" s="142"/>
      <c r="G153" s="142"/>
      <c r="H153" s="142"/>
      <c r="I153" s="142"/>
      <c r="J153" s="142"/>
      <c r="K153" s="16"/>
    </row>
    <row r="154" spans="1:16" ht="30.6" x14ac:dyDescent="0.3">
      <c r="A154" s="14" t="s">
        <v>328</v>
      </c>
      <c r="B154" s="156">
        <v>92396</v>
      </c>
      <c r="C154" s="151" t="s">
        <v>7</v>
      </c>
      <c r="D154" s="186" t="s">
        <v>235</v>
      </c>
      <c r="E154" s="207" t="s">
        <v>95</v>
      </c>
      <c r="F154" s="145"/>
      <c r="G154" s="145"/>
      <c r="H154" s="142"/>
      <c r="I154" s="142"/>
      <c r="J154" s="142"/>
      <c r="K154" s="16">
        <f>K155</f>
        <v>295.68</v>
      </c>
    </row>
    <row r="155" spans="1:16" x14ac:dyDescent="0.3">
      <c r="A155" s="14"/>
      <c r="B155" s="156"/>
      <c r="C155" s="151"/>
      <c r="D155" s="186" t="s">
        <v>334</v>
      </c>
      <c r="E155" s="178"/>
      <c r="F155" s="155" t="s">
        <v>240</v>
      </c>
      <c r="G155" s="142">
        <v>295.68</v>
      </c>
      <c r="H155" s="142"/>
      <c r="I155" s="142"/>
      <c r="J155" s="142"/>
      <c r="K155" s="15">
        <f>G155</f>
        <v>295.68</v>
      </c>
    </row>
    <row r="156" spans="1:16" x14ac:dyDescent="0.3">
      <c r="A156" s="14"/>
      <c r="B156" s="156"/>
      <c r="C156" s="151"/>
      <c r="D156" s="186"/>
      <c r="E156" s="178"/>
      <c r="F156" s="142"/>
      <c r="G156" s="142"/>
      <c r="H156" s="142"/>
      <c r="I156" s="142"/>
      <c r="J156" s="142"/>
      <c r="K156" s="16"/>
    </row>
    <row r="157" spans="1:16" ht="30.6" x14ac:dyDescent="0.3">
      <c r="A157" s="11" t="s">
        <v>329</v>
      </c>
      <c r="B157" s="153">
        <v>93679</v>
      </c>
      <c r="C157" s="151" t="s">
        <v>7</v>
      </c>
      <c r="D157" s="161" t="s">
        <v>132</v>
      </c>
      <c r="E157" s="207" t="s">
        <v>95</v>
      </c>
      <c r="F157" s="142"/>
      <c r="G157" s="142"/>
      <c r="H157" s="142"/>
      <c r="I157" s="142"/>
      <c r="J157" s="142"/>
      <c r="K157" s="16">
        <f>K158</f>
        <v>48.68</v>
      </c>
    </row>
    <row r="158" spans="1:16" ht="20.399999999999999" x14ac:dyDescent="0.3">
      <c r="A158" s="13"/>
      <c r="B158" s="153"/>
      <c r="C158" s="143"/>
      <c r="D158" s="186" t="s">
        <v>335</v>
      </c>
      <c r="E158" s="207"/>
      <c r="F158" s="155" t="s">
        <v>240</v>
      </c>
      <c r="G158" s="142">
        <v>48.68</v>
      </c>
      <c r="H158" s="142"/>
      <c r="I158" s="142"/>
      <c r="J158" s="142"/>
      <c r="K158" s="15">
        <f>G158</f>
        <v>48.68</v>
      </c>
    </row>
    <row r="159" spans="1:16" x14ac:dyDescent="0.3">
      <c r="A159" s="13"/>
      <c r="B159" s="153"/>
      <c r="C159" s="143"/>
      <c r="D159" s="186"/>
      <c r="E159" s="207"/>
      <c r="F159" s="155"/>
      <c r="G159" s="142"/>
      <c r="H159" s="142"/>
      <c r="I159" s="142"/>
      <c r="J159" s="142"/>
      <c r="K159" s="16"/>
    </row>
    <row r="160" spans="1:16" ht="30.6" x14ac:dyDescent="0.3">
      <c r="A160" s="13" t="s">
        <v>336</v>
      </c>
      <c r="B160" s="208" t="s">
        <v>340</v>
      </c>
      <c r="C160" s="143" t="s">
        <v>43</v>
      </c>
      <c r="D160" s="186" t="s">
        <v>341</v>
      </c>
      <c r="E160" s="207" t="s">
        <v>95</v>
      </c>
      <c r="F160" s="155"/>
      <c r="G160" s="142"/>
      <c r="H160" s="142"/>
      <c r="I160" s="142"/>
      <c r="J160" s="142"/>
      <c r="K160" s="16">
        <f>K161</f>
        <v>51.99</v>
      </c>
      <c r="M160" s="180"/>
      <c r="N160" s="180"/>
      <c r="O160" s="180"/>
      <c r="P160" s="180"/>
    </row>
    <row r="161" spans="1:16" ht="14.4" x14ac:dyDescent="0.3">
      <c r="A161" s="13"/>
      <c r="B161" s="153"/>
      <c r="C161" s="143"/>
      <c r="D161" s="179" t="s">
        <v>337</v>
      </c>
      <c r="E161" s="178"/>
      <c r="F161" s="155" t="s">
        <v>240</v>
      </c>
      <c r="G161" s="145"/>
      <c r="H161" s="148"/>
      <c r="I161" s="148"/>
      <c r="J161" s="148"/>
      <c r="K161" s="15">
        <v>51.99</v>
      </c>
      <c r="M161" t="s">
        <v>338</v>
      </c>
      <c r="N161" t="s">
        <v>339</v>
      </c>
      <c r="O161"/>
      <c r="P161"/>
    </row>
    <row r="162" spans="1:16" x14ac:dyDescent="0.3">
      <c r="A162" s="13"/>
      <c r="B162" s="153"/>
      <c r="C162" s="143"/>
      <c r="D162" s="179"/>
      <c r="E162" s="178"/>
      <c r="F162" s="155"/>
      <c r="G162" s="145"/>
      <c r="H162" s="148"/>
      <c r="I162" s="148"/>
      <c r="J162" s="148"/>
      <c r="K162" s="15"/>
    </row>
    <row r="163" spans="1:16" ht="30.6" x14ac:dyDescent="0.3">
      <c r="A163" s="14" t="s">
        <v>342</v>
      </c>
      <c r="B163" s="156" t="s">
        <v>344</v>
      </c>
      <c r="C163" s="204" t="s">
        <v>43</v>
      </c>
      <c r="D163" s="158" t="s">
        <v>345</v>
      </c>
      <c r="E163" s="209" t="s">
        <v>95</v>
      </c>
      <c r="F163" s="142"/>
      <c r="G163" s="210"/>
      <c r="H163" s="145"/>
      <c r="I163" s="145"/>
      <c r="J163" s="145"/>
      <c r="K163" s="211">
        <f>K164</f>
        <v>43.3</v>
      </c>
      <c r="M163" t="s">
        <v>343</v>
      </c>
      <c r="N163"/>
      <c r="O163"/>
      <c r="P163"/>
    </row>
    <row r="164" spans="1:16" x14ac:dyDescent="0.3">
      <c r="A164" s="14"/>
      <c r="B164" s="156"/>
      <c r="C164" s="143"/>
      <c r="D164" s="161" t="s">
        <v>346</v>
      </c>
      <c r="E164" s="209"/>
      <c r="F164" s="142">
        <v>0.25</v>
      </c>
      <c r="G164" s="210">
        <v>173.2</v>
      </c>
      <c r="H164" s="145"/>
      <c r="I164" s="145"/>
      <c r="J164" s="145"/>
      <c r="K164" s="212">
        <f>F164*G164</f>
        <v>43.3</v>
      </c>
    </row>
    <row r="165" spans="1:16" x14ac:dyDescent="0.3">
      <c r="A165" s="13"/>
      <c r="B165" s="153"/>
      <c r="C165" s="143"/>
      <c r="D165" s="144"/>
      <c r="E165" s="207"/>
      <c r="F165" s="142"/>
      <c r="G165" s="142"/>
      <c r="H165" s="142"/>
      <c r="I165" s="142"/>
      <c r="J165" s="142"/>
      <c r="K165" s="15"/>
    </row>
    <row r="166" spans="1:16" x14ac:dyDescent="0.3">
      <c r="A166" s="107" t="s">
        <v>23</v>
      </c>
      <c r="B166" s="172"/>
      <c r="C166" s="173"/>
      <c r="D166" s="174" t="s">
        <v>32</v>
      </c>
      <c r="E166" s="175"/>
      <c r="F166" s="176"/>
      <c r="G166" s="176"/>
      <c r="H166" s="176"/>
      <c r="I166" s="176"/>
      <c r="J166" s="176"/>
      <c r="K166" s="108"/>
    </row>
    <row r="167" spans="1:16" ht="20.399999999999999" x14ac:dyDescent="0.3">
      <c r="A167" s="13" t="s">
        <v>24</v>
      </c>
      <c r="B167" s="153">
        <v>88485</v>
      </c>
      <c r="C167" s="151" t="s">
        <v>7</v>
      </c>
      <c r="D167" s="161" t="s">
        <v>236</v>
      </c>
      <c r="E167" s="207" t="s">
        <v>95</v>
      </c>
      <c r="F167" s="142"/>
      <c r="G167" s="142"/>
      <c r="H167" s="142"/>
      <c r="I167" s="142"/>
      <c r="J167" s="142"/>
      <c r="K167" s="16">
        <f>SUM(K168:K173)</f>
        <v>146.48399999999998</v>
      </c>
    </row>
    <row r="168" spans="1:16" x14ac:dyDescent="0.3">
      <c r="A168" s="13"/>
      <c r="B168" s="153"/>
      <c r="C168" s="151"/>
      <c r="D168" s="161" t="s">
        <v>278</v>
      </c>
      <c r="E168" s="167"/>
      <c r="F168" s="163"/>
      <c r="G168" s="163">
        <v>29.4</v>
      </c>
      <c r="H168" s="163">
        <f>(1.2+1.4)/2</f>
        <v>1.2999999999999998</v>
      </c>
      <c r="I168" s="163"/>
      <c r="J168" s="163"/>
      <c r="K168" s="123">
        <f>G168*H168</f>
        <v>38.219999999999992</v>
      </c>
    </row>
    <row r="169" spans="1:16" x14ac:dyDescent="0.3">
      <c r="A169" s="13"/>
      <c r="B169" s="153"/>
      <c r="C169" s="151"/>
      <c r="D169" s="161" t="s">
        <v>279</v>
      </c>
      <c r="E169" s="167"/>
      <c r="F169" s="163"/>
      <c r="G169" s="163">
        <v>24.8</v>
      </c>
      <c r="H169" s="163">
        <v>1.1000000000000001</v>
      </c>
      <c r="I169" s="163"/>
      <c r="J169" s="163"/>
      <c r="K169" s="123">
        <f t="shared" ref="K169:K173" si="14">G169*H169</f>
        <v>27.280000000000005</v>
      </c>
    </row>
    <row r="170" spans="1:16" x14ac:dyDescent="0.3">
      <c r="A170" s="13"/>
      <c r="B170" s="153"/>
      <c r="C170" s="151"/>
      <c r="D170" s="161" t="s">
        <v>280</v>
      </c>
      <c r="E170" s="167"/>
      <c r="F170" s="163"/>
      <c r="G170" s="163">
        <v>29.3</v>
      </c>
      <c r="H170" s="163">
        <f>(1+0.6)/2</f>
        <v>0.8</v>
      </c>
      <c r="I170" s="163"/>
      <c r="J170" s="163"/>
      <c r="K170" s="123">
        <f t="shared" si="14"/>
        <v>23.44</v>
      </c>
    </row>
    <row r="171" spans="1:16" x14ac:dyDescent="0.3">
      <c r="A171" s="13"/>
      <c r="B171" s="153"/>
      <c r="C171" s="151"/>
      <c r="D171" s="161" t="s">
        <v>281</v>
      </c>
      <c r="E171" s="167"/>
      <c r="F171" s="163"/>
      <c r="G171" s="163">
        <v>16.04</v>
      </c>
      <c r="H171" s="163">
        <v>0.8</v>
      </c>
      <c r="I171" s="163"/>
      <c r="J171" s="163"/>
      <c r="K171" s="123">
        <f t="shared" si="14"/>
        <v>12.832000000000001</v>
      </c>
    </row>
    <row r="172" spans="1:16" x14ac:dyDescent="0.3">
      <c r="A172" s="13"/>
      <c r="B172" s="153"/>
      <c r="C172" s="151"/>
      <c r="D172" s="161" t="s">
        <v>282</v>
      </c>
      <c r="E172" s="167"/>
      <c r="F172" s="163"/>
      <c r="G172" s="163">
        <v>34.200000000000003</v>
      </c>
      <c r="H172" s="163">
        <v>1</v>
      </c>
      <c r="I172" s="163"/>
      <c r="J172" s="163"/>
      <c r="K172" s="123">
        <f t="shared" si="14"/>
        <v>34.200000000000003</v>
      </c>
    </row>
    <row r="173" spans="1:16" x14ac:dyDescent="0.3">
      <c r="A173" s="13"/>
      <c r="B173" s="153"/>
      <c r="C173" s="151"/>
      <c r="D173" s="161" t="s">
        <v>283</v>
      </c>
      <c r="E173" s="167"/>
      <c r="F173" s="163"/>
      <c r="G173" s="163">
        <v>17.52</v>
      </c>
      <c r="H173" s="163">
        <v>0.6</v>
      </c>
      <c r="I173" s="163"/>
      <c r="J173" s="163"/>
      <c r="K173" s="123">
        <f t="shared" si="14"/>
        <v>10.511999999999999</v>
      </c>
    </row>
    <row r="174" spans="1:16" x14ac:dyDescent="0.3">
      <c r="A174" s="13"/>
      <c r="B174" s="153"/>
      <c r="C174" s="143"/>
      <c r="D174" s="161"/>
      <c r="E174" s="207"/>
      <c r="F174" s="142"/>
      <c r="G174" s="142"/>
      <c r="H174" s="142"/>
      <c r="I174" s="142"/>
      <c r="J174" s="142"/>
      <c r="K174" s="15"/>
    </row>
    <row r="175" spans="1:16" ht="20.399999999999999" x14ac:dyDescent="0.3">
      <c r="A175" s="14" t="s">
        <v>25</v>
      </c>
      <c r="B175" s="156" t="s">
        <v>347</v>
      </c>
      <c r="C175" s="151" t="s">
        <v>7</v>
      </c>
      <c r="D175" s="186" t="s">
        <v>237</v>
      </c>
      <c r="E175" s="207" t="s">
        <v>95</v>
      </c>
      <c r="F175" s="142"/>
      <c r="G175" s="142"/>
      <c r="H175" s="142"/>
      <c r="I175" s="142"/>
      <c r="J175" s="142"/>
      <c r="K175" s="16">
        <f>SUM(K176:K181)</f>
        <v>146.48399999999998</v>
      </c>
    </row>
    <row r="176" spans="1:16" s="124" customFormat="1" x14ac:dyDescent="0.3">
      <c r="A176" s="125"/>
      <c r="B176" s="203"/>
      <c r="C176" s="204"/>
      <c r="D176" s="161" t="s">
        <v>278</v>
      </c>
      <c r="E176" s="167"/>
      <c r="F176" s="163"/>
      <c r="G176" s="163">
        <v>29.4</v>
      </c>
      <c r="H176" s="163">
        <f>(1.2+1.4)/2</f>
        <v>1.2999999999999998</v>
      </c>
      <c r="I176" s="163"/>
      <c r="J176" s="163"/>
      <c r="K176" s="123">
        <f>G176*H176</f>
        <v>38.219999999999992</v>
      </c>
    </row>
    <row r="177" spans="1:13" s="124" customFormat="1" x14ac:dyDescent="0.3">
      <c r="A177" s="125"/>
      <c r="B177" s="203"/>
      <c r="C177" s="204"/>
      <c r="D177" s="161" t="s">
        <v>279</v>
      </c>
      <c r="E177" s="167"/>
      <c r="F177" s="163"/>
      <c r="G177" s="163">
        <v>24.8</v>
      </c>
      <c r="H177" s="163">
        <v>1.1000000000000001</v>
      </c>
      <c r="I177" s="163"/>
      <c r="J177" s="163"/>
      <c r="K177" s="123">
        <f t="shared" ref="K177:K181" si="15">G177*H177</f>
        <v>27.280000000000005</v>
      </c>
    </row>
    <row r="178" spans="1:13" s="124" customFormat="1" x14ac:dyDescent="0.3">
      <c r="A178" s="125"/>
      <c r="B178" s="203"/>
      <c r="C178" s="204"/>
      <c r="D178" s="161" t="s">
        <v>280</v>
      </c>
      <c r="E178" s="167"/>
      <c r="F178" s="163"/>
      <c r="G178" s="163">
        <v>29.3</v>
      </c>
      <c r="H178" s="163">
        <f>(1+0.6)/2</f>
        <v>0.8</v>
      </c>
      <c r="I178" s="163"/>
      <c r="J178" s="163"/>
      <c r="K178" s="123">
        <f t="shared" si="15"/>
        <v>23.44</v>
      </c>
    </row>
    <row r="179" spans="1:13" s="124" customFormat="1" x14ac:dyDescent="0.3">
      <c r="A179" s="125"/>
      <c r="B179" s="203"/>
      <c r="C179" s="204"/>
      <c r="D179" s="161" t="s">
        <v>281</v>
      </c>
      <c r="E179" s="167"/>
      <c r="F179" s="163"/>
      <c r="G179" s="163">
        <v>16.04</v>
      </c>
      <c r="H179" s="163">
        <v>0.8</v>
      </c>
      <c r="I179" s="163"/>
      <c r="J179" s="163"/>
      <c r="K179" s="123">
        <f t="shared" si="15"/>
        <v>12.832000000000001</v>
      </c>
    </row>
    <row r="180" spans="1:13" s="124" customFormat="1" x14ac:dyDescent="0.3">
      <c r="A180" s="125"/>
      <c r="B180" s="203"/>
      <c r="C180" s="204"/>
      <c r="D180" s="161" t="s">
        <v>282</v>
      </c>
      <c r="E180" s="167"/>
      <c r="F180" s="163"/>
      <c r="G180" s="163">
        <v>34.200000000000003</v>
      </c>
      <c r="H180" s="163">
        <v>1</v>
      </c>
      <c r="I180" s="163"/>
      <c r="J180" s="163"/>
      <c r="K180" s="123">
        <f t="shared" si="15"/>
        <v>34.200000000000003</v>
      </c>
    </row>
    <row r="181" spans="1:13" x14ac:dyDescent="0.3">
      <c r="A181" s="11"/>
      <c r="B181" s="185"/>
      <c r="C181" s="178"/>
      <c r="D181" s="161" t="s">
        <v>283</v>
      </c>
      <c r="E181" s="167"/>
      <c r="F181" s="163"/>
      <c r="G181" s="163">
        <v>17.52</v>
      </c>
      <c r="H181" s="163">
        <v>0.6</v>
      </c>
      <c r="I181" s="148"/>
      <c r="J181" s="148"/>
      <c r="K181" s="123">
        <f t="shared" si="15"/>
        <v>10.511999999999999</v>
      </c>
    </row>
    <row r="182" spans="1:13" x14ac:dyDescent="0.3">
      <c r="A182" s="11"/>
      <c r="B182" s="185"/>
      <c r="C182" s="178"/>
      <c r="D182" s="179"/>
      <c r="E182" s="178"/>
      <c r="F182" s="155"/>
      <c r="G182" s="145"/>
      <c r="H182" s="148"/>
      <c r="I182" s="148"/>
      <c r="J182" s="148"/>
      <c r="K182" s="15"/>
    </row>
    <row r="183" spans="1:13" ht="20.399999999999999" x14ac:dyDescent="0.3">
      <c r="A183" s="11" t="s">
        <v>106</v>
      </c>
      <c r="B183" s="185" t="s">
        <v>349</v>
      </c>
      <c r="C183" s="178" t="s">
        <v>7</v>
      </c>
      <c r="D183" s="179" t="s">
        <v>350</v>
      </c>
      <c r="E183" s="178" t="s">
        <v>95</v>
      </c>
      <c r="F183" s="155"/>
      <c r="G183" s="145"/>
      <c r="H183" s="148"/>
      <c r="I183" s="148"/>
      <c r="J183" s="148"/>
      <c r="K183" s="16">
        <f>K184</f>
        <v>15.12</v>
      </c>
      <c r="M183" s="5" t="s">
        <v>348</v>
      </c>
    </row>
    <row r="184" spans="1:13" x14ac:dyDescent="0.3">
      <c r="A184" s="11"/>
      <c r="B184" s="185"/>
      <c r="C184" s="178"/>
      <c r="D184" s="179" t="s">
        <v>351</v>
      </c>
      <c r="E184" s="178"/>
      <c r="F184" s="155" t="s">
        <v>240</v>
      </c>
      <c r="G184" s="145">
        <v>15.17</v>
      </c>
      <c r="H184" s="148"/>
      <c r="I184" s="148"/>
      <c r="J184" s="148"/>
      <c r="K184" s="15">
        <v>15.12</v>
      </c>
    </row>
    <row r="185" spans="1:13" x14ac:dyDescent="0.3">
      <c r="A185" s="13"/>
      <c r="B185" s="153"/>
      <c r="C185" s="143"/>
      <c r="D185" s="144"/>
      <c r="E185" s="207"/>
      <c r="F185" s="142"/>
      <c r="G185" s="142"/>
      <c r="H185" s="142"/>
      <c r="I185" s="142"/>
      <c r="J185" s="142"/>
      <c r="K185" s="15"/>
    </row>
    <row r="186" spans="1:13" x14ac:dyDescent="0.3">
      <c r="A186" s="107" t="s">
        <v>26</v>
      </c>
      <c r="B186" s="181"/>
      <c r="C186" s="181"/>
      <c r="D186" s="182" t="s">
        <v>148</v>
      </c>
      <c r="E186" s="183"/>
      <c r="F186" s="176"/>
      <c r="G186" s="176"/>
      <c r="H186" s="176"/>
      <c r="I186" s="176"/>
      <c r="J186" s="176"/>
      <c r="K186" s="108"/>
    </row>
    <row r="187" spans="1:13" ht="30.6" x14ac:dyDescent="0.3">
      <c r="A187" s="14" t="s">
        <v>27</v>
      </c>
      <c r="B187" s="184" t="s">
        <v>353</v>
      </c>
      <c r="C187" s="184" t="s">
        <v>7</v>
      </c>
      <c r="D187" s="152" t="s">
        <v>354</v>
      </c>
      <c r="E187" s="143" t="s">
        <v>36</v>
      </c>
      <c r="F187" s="142"/>
      <c r="G187" s="142"/>
      <c r="H187" s="142"/>
      <c r="I187" s="142"/>
      <c r="J187" s="142"/>
      <c r="K187" s="16">
        <v>1</v>
      </c>
      <c r="M187" s="5" t="s">
        <v>352</v>
      </c>
    </row>
    <row r="188" spans="1:13" x14ac:dyDescent="0.3">
      <c r="A188" s="14"/>
      <c r="B188" s="184"/>
      <c r="C188" s="184"/>
      <c r="D188" s="152"/>
      <c r="E188" s="143"/>
      <c r="F188" s="142"/>
      <c r="G188" s="142"/>
      <c r="H188" s="142"/>
      <c r="I188" s="142"/>
      <c r="J188" s="142"/>
      <c r="K188" s="15"/>
    </row>
    <row r="189" spans="1:13" ht="40.799999999999997" x14ac:dyDescent="0.3">
      <c r="A189" s="14" t="s">
        <v>28</v>
      </c>
      <c r="B189" s="184" t="s">
        <v>356</v>
      </c>
      <c r="C189" s="184" t="s">
        <v>7</v>
      </c>
      <c r="D189" s="152" t="s">
        <v>357</v>
      </c>
      <c r="E189" s="143" t="s">
        <v>36</v>
      </c>
      <c r="F189" s="142"/>
      <c r="G189" s="142"/>
      <c r="H189" s="142"/>
      <c r="I189" s="142"/>
      <c r="J189" s="142"/>
      <c r="K189" s="16">
        <v>1</v>
      </c>
      <c r="M189" s="5" t="s">
        <v>355</v>
      </c>
    </row>
    <row r="190" spans="1:13" x14ac:dyDescent="0.3">
      <c r="A190" s="14"/>
      <c r="B190" s="184"/>
      <c r="C190" s="184"/>
      <c r="D190" s="152"/>
      <c r="E190" s="143"/>
      <c r="F190" s="142"/>
      <c r="G190" s="142"/>
      <c r="H190" s="142"/>
      <c r="I190" s="142"/>
      <c r="J190" s="142"/>
      <c r="K190" s="15"/>
    </row>
    <row r="191" spans="1:13" ht="20.399999999999999" x14ac:dyDescent="0.3">
      <c r="A191" s="14" t="s">
        <v>127</v>
      </c>
      <c r="B191" s="184" t="s">
        <v>359</v>
      </c>
      <c r="C191" s="184" t="s">
        <v>105</v>
      </c>
      <c r="D191" s="152" t="s">
        <v>360</v>
      </c>
      <c r="E191" s="143" t="s">
        <v>36</v>
      </c>
      <c r="F191" s="142"/>
      <c r="G191" s="142"/>
      <c r="H191" s="142"/>
      <c r="I191" s="142"/>
      <c r="J191" s="142"/>
      <c r="K191" s="16">
        <v>1</v>
      </c>
      <c r="M191" s="5" t="s">
        <v>358</v>
      </c>
    </row>
    <row r="192" spans="1:13" x14ac:dyDescent="0.3">
      <c r="A192" s="14"/>
      <c r="B192" s="184"/>
      <c r="C192" s="184"/>
      <c r="D192" s="152"/>
      <c r="E192" s="143"/>
      <c r="F192" s="142"/>
      <c r="G192" s="142"/>
      <c r="H192" s="142"/>
      <c r="I192" s="142"/>
      <c r="J192" s="142"/>
      <c r="K192" s="16"/>
    </row>
    <row r="193" spans="1:16" ht="30.6" x14ac:dyDescent="0.3">
      <c r="A193" s="14" t="s">
        <v>128</v>
      </c>
      <c r="B193" s="184" t="s">
        <v>714</v>
      </c>
      <c r="C193" s="184" t="s">
        <v>43</v>
      </c>
      <c r="D193" s="152" t="s">
        <v>715</v>
      </c>
      <c r="E193" s="143" t="s">
        <v>36</v>
      </c>
      <c r="F193" s="142"/>
      <c r="G193" s="142"/>
      <c r="H193" s="142"/>
      <c r="I193" s="142"/>
      <c r="J193" s="142"/>
      <c r="K193" s="16">
        <v>9</v>
      </c>
      <c r="M193" t="s">
        <v>713</v>
      </c>
      <c r="N193"/>
      <c r="O193"/>
      <c r="P193"/>
    </row>
    <row r="194" spans="1:16" x14ac:dyDescent="0.3">
      <c r="A194" s="14"/>
      <c r="B194" s="184"/>
      <c r="C194" s="184"/>
      <c r="D194" s="152"/>
      <c r="E194" s="143"/>
      <c r="F194" s="142"/>
      <c r="G194" s="142"/>
      <c r="H194" s="142"/>
      <c r="I194" s="142"/>
      <c r="J194" s="142"/>
      <c r="K194" s="16"/>
    </row>
    <row r="195" spans="1:16" ht="40.799999999999997" x14ac:dyDescent="0.3">
      <c r="A195" s="14" t="s">
        <v>129</v>
      </c>
      <c r="B195" s="184" t="s">
        <v>720</v>
      </c>
      <c r="C195" s="184" t="s">
        <v>43</v>
      </c>
      <c r="D195" s="152" t="s">
        <v>721</v>
      </c>
      <c r="E195" s="143" t="s">
        <v>36</v>
      </c>
      <c r="F195" s="142"/>
      <c r="G195" s="142"/>
      <c r="H195" s="142"/>
      <c r="I195" s="142"/>
      <c r="J195" s="142"/>
      <c r="K195" s="16">
        <v>9</v>
      </c>
      <c r="M195" t="s">
        <v>719</v>
      </c>
      <c r="N195"/>
      <c r="O195"/>
      <c r="P195"/>
    </row>
    <row r="196" spans="1:16" x14ac:dyDescent="0.3">
      <c r="A196" s="14"/>
      <c r="B196" s="184"/>
      <c r="C196" s="184"/>
      <c r="D196" s="152"/>
      <c r="E196" s="143"/>
      <c r="F196" s="142"/>
      <c r="G196" s="142"/>
      <c r="H196" s="142"/>
      <c r="I196" s="142"/>
      <c r="J196" s="142"/>
      <c r="K196" s="16"/>
    </row>
    <row r="197" spans="1:16" ht="20.399999999999999" x14ac:dyDescent="0.3">
      <c r="A197" s="14" t="s">
        <v>149</v>
      </c>
      <c r="B197" s="185" t="s">
        <v>365</v>
      </c>
      <c r="C197" s="204" t="s">
        <v>7</v>
      </c>
      <c r="D197" s="186" t="s">
        <v>366</v>
      </c>
      <c r="E197" s="178" t="s">
        <v>36</v>
      </c>
      <c r="F197" s="142"/>
      <c r="G197" s="142"/>
      <c r="H197" s="142"/>
      <c r="I197" s="142"/>
      <c r="J197" s="142"/>
      <c r="K197" s="16">
        <v>18</v>
      </c>
      <c r="M197" s="5" t="s">
        <v>364</v>
      </c>
    </row>
    <row r="198" spans="1:16" x14ac:dyDescent="0.3">
      <c r="A198" s="14"/>
      <c r="B198" s="184"/>
      <c r="C198" s="184"/>
      <c r="D198" s="152"/>
      <c r="E198" s="143"/>
      <c r="F198" s="142"/>
      <c r="G198" s="142"/>
      <c r="H198" s="142"/>
      <c r="I198" s="142"/>
      <c r="J198" s="142"/>
      <c r="K198" s="16"/>
    </row>
    <row r="199" spans="1:16" ht="20.399999999999999" x14ac:dyDescent="0.3">
      <c r="A199" s="13" t="s">
        <v>150</v>
      </c>
      <c r="B199" s="153" t="s">
        <v>764</v>
      </c>
      <c r="C199" s="143" t="s">
        <v>43</v>
      </c>
      <c r="D199" s="161" t="s">
        <v>765</v>
      </c>
      <c r="E199" s="143" t="s">
        <v>36</v>
      </c>
      <c r="F199" s="142"/>
      <c r="G199" s="142"/>
      <c r="H199" s="142"/>
      <c r="I199" s="142"/>
      <c r="J199" s="142"/>
      <c r="K199" s="16">
        <v>1</v>
      </c>
      <c r="M199" t="s">
        <v>763</v>
      </c>
    </row>
    <row r="200" spans="1:16" x14ac:dyDescent="0.3">
      <c r="A200" s="14"/>
      <c r="B200" s="184"/>
      <c r="C200" s="184"/>
      <c r="D200" s="152"/>
      <c r="E200" s="143"/>
      <c r="F200" s="142"/>
      <c r="G200" s="142"/>
      <c r="H200" s="142"/>
      <c r="I200" s="142"/>
      <c r="J200" s="142"/>
      <c r="K200" s="16"/>
    </row>
    <row r="201" spans="1:16" ht="30.6" x14ac:dyDescent="0.3">
      <c r="A201" s="13" t="s">
        <v>151</v>
      </c>
      <c r="B201" s="153" t="s">
        <v>368</v>
      </c>
      <c r="C201" s="143" t="s">
        <v>43</v>
      </c>
      <c r="D201" s="161" t="s">
        <v>716</v>
      </c>
      <c r="E201" s="178" t="s">
        <v>36</v>
      </c>
      <c r="F201" s="142"/>
      <c r="G201" s="142"/>
      <c r="H201" s="142"/>
      <c r="I201" s="142"/>
      <c r="J201" s="142"/>
      <c r="K201" s="16">
        <v>2</v>
      </c>
      <c r="M201" t="s">
        <v>367</v>
      </c>
      <c r="N201"/>
      <c r="O201"/>
      <c r="P201"/>
    </row>
    <row r="202" spans="1:16" x14ac:dyDescent="0.3">
      <c r="A202" s="14"/>
      <c r="B202" s="184"/>
      <c r="C202" s="184"/>
      <c r="D202" s="152"/>
      <c r="E202" s="143"/>
      <c r="F202" s="142"/>
      <c r="G202" s="142"/>
      <c r="H202" s="142"/>
      <c r="I202" s="142"/>
      <c r="J202" s="142"/>
      <c r="K202" s="16"/>
    </row>
    <row r="203" spans="1:16" ht="20.399999999999999" x14ac:dyDescent="0.3">
      <c r="A203" s="13" t="s">
        <v>152</v>
      </c>
      <c r="B203" s="153" t="s">
        <v>370</v>
      </c>
      <c r="C203" s="143" t="s">
        <v>43</v>
      </c>
      <c r="D203" s="161" t="s">
        <v>717</v>
      </c>
      <c r="E203" s="178" t="s">
        <v>36</v>
      </c>
      <c r="F203" s="142"/>
      <c r="G203" s="142"/>
      <c r="H203" s="142"/>
      <c r="I203" s="142"/>
      <c r="J203" s="142"/>
      <c r="K203" s="16">
        <v>11</v>
      </c>
      <c r="M203" t="s">
        <v>369</v>
      </c>
    </row>
    <row r="204" spans="1:16" x14ac:dyDescent="0.3">
      <c r="A204" s="14"/>
      <c r="B204" s="184"/>
      <c r="C204" s="184"/>
      <c r="D204" s="152"/>
      <c r="E204" s="143"/>
      <c r="F204" s="142"/>
      <c r="G204" s="142"/>
      <c r="H204" s="142"/>
      <c r="I204" s="142"/>
      <c r="J204" s="142"/>
      <c r="K204" s="16"/>
    </row>
    <row r="205" spans="1:16" ht="20.399999999999999" x14ac:dyDescent="0.3">
      <c r="A205" s="14" t="s">
        <v>153</v>
      </c>
      <c r="B205" s="184" t="s">
        <v>723</v>
      </c>
      <c r="C205" s="184" t="s">
        <v>7</v>
      </c>
      <c r="D205" s="152" t="s">
        <v>724</v>
      </c>
      <c r="E205" s="143" t="s">
        <v>36</v>
      </c>
      <c r="F205" s="142"/>
      <c r="G205" s="142"/>
      <c r="H205" s="142"/>
      <c r="I205" s="142"/>
      <c r="J205" s="142"/>
      <c r="K205" s="16">
        <v>2</v>
      </c>
      <c r="M205" s="5" t="s">
        <v>722</v>
      </c>
    </row>
    <row r="206" spans="1:16" x14ac:dyDescent="0.3">
      <c r="A206" s="14"/>
      <c r="B206" s="184"/>
      <c r="C206" s="184"/>
      <c r="D206" s="152"/>
      <c r="E206" s="143"/>
      <c r="F206" s="142"/>
      <c r="G206" s="142"/>
      <c r="H206" s="142"/>
      <c r="I206" s="142"/>
      <c r="J206" s="142"/>
      <c r="K206" s="15"/>
    </row>
    <row r="207" spans="1:16" ht="20.399999999999999" x14ac:dyDescent="0.3">
      <c r="A207" s="14" t="s">
        <v>377</v>
      </c>
      <c r="B207" s="185" t="s">
        <v>375</v>
      </c>
      <c r="C207" s="143" t="s">
        <v>7</v>
      </c>
      <c r="D207" s="186" t="s">
        <v>376</v>
      </c>
      <c r="E207" s="178" t="s">
        <v>36</v>
      </c>
      <c r="F207" s="142"/>
      <c r="G207" s="142"/>
      <c r="H207" s="142"/>
      <c r="I207" s="142"/>
      <c r="J207" s="142"/>
      <c r="K207" s="16">
        <v>1</v>
      </c>
      <c r="M207" s="5" t="s">
        <v>374</v>
      </c>
    </row>
    <row r="208" spans="1:16" x14ac:dyDescent="0.3">
      <c r="A208" s="14"/>
      <c r="B208" s="185"/>
      <c r="C208" s="143"/>
      <c r="D208" s="186"/>
      <c r="E208" s="178"/>
      <c r="F208" s="142"/>
      <c r="G208" s="142"/>
      <c r="H208" s="142"/>
      <c r="I208" s="142"/>
      <c r="J208" s="142"/>
      <c r="K208" s="16"/>
    </row>
    <row r="209" spans="1:16" ht="30.6" x14ac:dyDescent="0.3">
      <c r="A209" s="14" t="s">
        <v>378</v>
      </c>
      <c r="B209" s="185" t="s">
        <v>372</v>
      </c>
      <c r="C209" s="143" t="s">
        <v>7</v>
      </c>
      <c r="D209" s="186" t="s">
        <v>373</v>
      </c>
      <c r="E209" s="178" t="s">
        <v>36</v>
      </c>
      <c r="F209" s="142"/>
      <c r="G209" s="142"/>
      <c r="H209" s="142"/>
      <c r="I209" s="142"/>
      <c r="J209" s="142"/>
      <c r="K209" s="16">
        <v>1</v>
      </c>
      <c r="M209" s="5" t="s">
        <v>371</v>
      </c>
    </row>
    <row r="210" spans="1:16" x14ac:dyDescent="0.3">
      <c r="A210" s="14"/>
      <c r="B210" s="185"/>
      <c r="C210" s="143"/>
      <c r="D210" s="186"/>
      <c r="E210" s="178"/>
      <c r="F210" s="142"/>
      <c r="G210" s="142"/>
      <c r="H210" s="142"/>
      <c r="I210" s="142"/>
      <c r="J210" s="142"/>
      <c r="K210" s="16"/>
    </row>
    <row r="211" spans="1:16" ht="30.6" x14ac:dyDescent="0.3">
      <c r="A211" s="14" t="s">
        <v>379</v>
      </c>
      <c r="B211" s="213" t="s">
        <v>362</v>
      </c>
      <c r="C211" s="206" t="s">
        <v>7</v>
      </c>
      <c r="D211" s="186" t="s">
        <v>363</v>
      </c>
      <c r="E211" s="206" t="s">
        <v>97</v>
      </c>
      <c r="F211" s="142"/>
      <c r="G211" s="142"/>
      <c r="H211" s="142"/>
      <c r="I211" s="142"/>
      <c r="J211" s="142"/>
      <c r="K211" s="16">
        <v>30</v>
      </c>
      <c r="M211" s="5" t="s">
        <v>361</v>
      </c>
    </row>
    <row r="212" spans="1:16" x14ac:dyDescent="0.3">
      <c r="A212" s="14"/>
      <c r="B212" s="185"/>
      <c r="C212" s="143"/>
      <c r="D212" s="186"/>
      <c r="E212" s="178"/>
      <c r="F212" s="142"/>
      <c r="G212" s="142"/>
      <c r="H212" s="142"/>
      <c r="I212" s="142"/>
      <c r="J212" s="142"/>
      <c r="K212" s="16"/>
    </row>
    <row r="213" spans="1:16" ht="30.6" x14ac:dyDescent="0.3">
      <c r="A213" s="11" t="s">
        <v>766</v>
      </c>
      <c r="B213" s="185" t="s">
        <v>728</v>
      </c>
      <c r="C213" s="178" t="s">
        <v>7</v>
      </c>
      <c r="D213" s="154" t="s">
        <v>726</v>
      </c>
      <c r="E213" s="178" t="s">
        <v>97</v>
      </c>
      <c r="F213" s="145"/>
      <c r="G213" s="145"/>
      <c r="H213" s="145"/>
      <c r="I213" s="145"/>
      <c r="J213" s="145"/>
      <c r="K213" s="275">
        <v>80</v>
      </c>
      <c r="M213" s="5" t="s">
        <v>725</v>
      </c>
    </row>
    <row r="214" spans="1:16" x14ac:dyDescent="0.3">
      <c r="A214" s="13"/>
      <c r="B214" s="153"/>
      <c r="C214" s="143"/>
      <c r="D214" s="161"/>
      <c r="E214" s="178"/>
      <c r="F214" s="142"/>
      <c r="G214" s="142"/>
      <c r="H214" s="142"/>
      <c r="I214" s="142"/>
      <c r="J214" s="142"/>
      <c r="K214" s="16"/>
    </row>
    <row r="215" spans="1:16" ht="30.6" x14ac:dyDescent="0.3">
      <c r="A215" s="11" t="s">
        <v>767</v>
      </c>
      <c r="B215" s="185" t="s">
        <v>729</v>
      </c>
      <c r="C215" s="178" t="s">
        <v>7</v>
      </c>
      <c r="D215" s="154" t="s">
        <v>730</v>
      </c>
      <c r="E215" s="178" t="s">
        <v>97</v>
      </c>
      <c r="F215" s="145"/>
      <c r="G215" s="145"/>
      <c r="H215" s="145"/>
      <c r="I215" s="145"/>
      <c r="J215" s="145"/>
      <c r="K215" s="275">
        <v>30</v>
      </c>
      <c r="M215" s="5" t="s">
        <v>727</v>
      </c>
      <c r="N215"/>
      <c r="O215"/>
      <c r="P215"/>
    </row>
    <row r="216" spans="1:16" x14ac:dyDescent="0.3">
      <c r="A216" s="13"/>
      <c r="B216" s="153"/>
      <c r="C216" s="143"/>
      <c r="D216" s="161"/>
      <c r="E216" s="143"/>
      <c r="F216" s="142"/>
      <c r="G216" s="142"/>
      <c r="H216" s="142"/>
      <c r="I216" s="142"/>
      <c r="J216" s="142"/>
      <c r="K216" s="16"/>
    </row>
    <row r="217" spans="1:16" ht="30.6" x14ac:dyDescent="0.3">
      <c r="A217" s="13" t="s">
        <v>768</v>
      </c>
      <c r="B217" s="153" t="s">
        <v>732</v>
      </c>
      <c r="C217" s="143" t="s">
        <v>7</v>
      </c>
      <c r="D217" s="161" t="s">
        <v>733</v>
      </c>
      <c r="E217" s="143" t="s">
        <v>36</v>
      </c>
      <c r="F217" s="142"/>
      <c r="G217" s="142"/>
      <c r="H217" s="142"/>
      <c r="I217" s="142"/>
      <c r="J217" s="142"/>
      <c r="K217" s="16">
        <v>11</v>
      </c>
      <c r="M217" s="5" t="s">
        <v>731</v>
      </c>
    </row>
    <row r="218" spans="1:16" x14ac:dyDescent="0.3">
      <c r="A218" s="13"/>
      <c r="B218" s="153"/>
      <c r="C218" s="143"/>
      <c r="D218" s="161"/>
      <c r="E218" s="143"/>
      <c r="F218" s="142"/>
      <c r="G218" s="142"/>
      <c r="H218" s="142"/>
      <c r="I218" s="142"/>
      <c r="J218" s="142"/>
      <c r="K218" s="16"/>
    </row>
    <row r="219" spans="1:16" ht="30.6" x14ac:dyDescent="0.3">
      <c r="A219" s="13" t="s">
        <v>769</v>
      </c>
      <c r="B219" s="153" t="s">
        <v>735</v>
      </c>
      <c r="C219" s="143" t="s">
        <v>7</v>
      </c>
      <c r="D219" s="161" t="s">
        <v>736</v>
      </c>
      <c r="E219" s="143" t="s">
        <v>36</v>
      </c>
      <c r="F219" s="142"/>
      <c r="G219" s="142"/>
      <c r="H219" s="142"/>
      <c r="I219" s="142"/>
      <c r="J219" s="142"/>
      <c r="K219" s="16">
        <v>7</v>
      </c>
      <c r="M219" s="5" t="s">
        <v>734</v>
      </c>
    </row>
    <row r="220" spans="1:16" x14ac:dyDescent="0.3">
      <c r="A220" s="13"/>
      <c r="B220" s="153"/>
      <c r="C220" s="143"/>
      <c r="D220" s="161"/>
      <c r="E220" s="143"/>
      <c r="F220" s="142"/>
      <c r="G220" s="142"/>
      <c r="H220" s="142"/>
      <c r="I220" s="142"/>
      <c r="J220" s="142"/>
      <c r="K220" s="16"/>
    </row>
    <row r="221" spans="1:16" ht="30.6" x14ac:dyDescent="0.3">
      <c r="A221" s="13" t="s">
        <v>770</v>
      </c>
      <c r="B221" s="153" t="s">
        <v>738</v>
      </c>
      <c r="C221" s="143" t="s">
        <v>7</v>
      </c>
      <c r="D221" s="161" t="s">
        <v>739</v>
      </c>
      <c r="E221" s="143" t="s">
        <v>36</v>
      </c>
      <c r="F221" s="142"/>
      <c r="G221" s="142"/>
      <c r="H221" s="142"/>
      <c r="I221" s="142"/>
      <c r="J221" s="142"/>
      <c r="K221" s="16">
        <v>4</v>
      </c>
      <c r="M221" s="110" t="s">
        <v>737</v>
      </c>
    </row>
    <row r="222" spans="1:16" x14ac:dyDescent="0.3">
      <c r="A222" s="13"/>
      <c r="B222" s="153"/>
      <c r="C222" s="143"/>
      <c r="D222" s="214"/>
      <c r="E222" s="143"/>
      <c r="F222" s="142"/>
      <c r="G222" s="142"/>
      <c r="H222" s="142"/>
      <c r="I222" s="142"/>
      <c r="J222" s="142"/>
      <c r="K222" s="16"/>
      <c r="M222" s="3"/>
    </row>
    <row r="223" spans="1:16" ht="30.6" x14ac:dyDescent="0.3">
      <c r="A223" s="14" t="s">
        <v>771</v>
      </c>
      <c r="B223" s="184" t="s">
        <v>740</v>
      </c>
      <c r="C223" s="204" t="s">
        <v>7</v>
      </c>
      <c r="D223" s="186" t="s">
        <v>154</v>
      </c>
      <c r="E223" s="209" t="s">
        <v>36</v>
      </c>
      <c r="F223" s="142"/>
      <c r="G223" s="142"/>
      <c r="H223" s="142"/>
      <c r="I223" s="142"/>
      <c r="J223" s="142"/>
      <c r="K223" s="16">
        <v>17</v>
      </c>
      <c r="M223" s="110"/>
    </row>
    <row r="224" spans="1:16" x14ac:dyDescent="0.3">
      <c r="A224" s="14"/>
      <c r="B224" s="184"/>
      <c r="C224" s="204"/>
      <c r="D224" s="186"/>
      <c r="E224" s="209"/>
      <c r="F224" s="142"/>
      <c r="G224" s="142"/>
      <c r="H224" s="142"/>
      <c r="I224" s="142"/>
      <c r="J224" s="142"/>
      <c r="K224" s="16"/>
      <c r="M224" s="110"/>
    </row>
    <row r="225" spans="1:16" ht="40.799999999999997" x14ac:dyDescent="0.3">
      <c r="A225" s="14" t="s">
        <v>772</v>
      </c>
      <c r="B225" s="184" t="s">
        <v>745</v>
      </c>
      <c r="C225" s="204" t="s">
        <v>42</v>
      </c>
      <c r="D225" s="186" t="s">
        <v>744</v>
      </c>
      <c r="E225" s="209" t="s">
        <v>97</v>
      </c>
      <c r="F225" s="142"/>
      <c r="G225" s="142"/>
      <c r="H225" s="142"/>
      <c r="I225" s="142"/>
      <c r="J225" s="142"/>
      <c r="K225" s="16">
        <v>10</v>
      </c>
      <c r="M225" s="110"/>
    </row>
    <row r="226" spans="1:16" x14ac:dyDescent="0.3">
      <c r="A226" s="14"/>
      <c r="B226" s="184"/>
      <c r="C226" s="204"/>
      <c r="D226" s="186"/>
      <c r="E226" s="209"/>
      <c r="F226" s="142"/>
      <c r="G226" s="142"/>
      <c r="H226" s="142"/>
      <c r="I226" s="142"/>
      <c r="J226" s="142"/>
      <c r="K226" s="16"/>
      <c r="M226" s="110"/>
    </row>
    <row r="227" spans="1:16" ht="40.799999999999997" x14ac:dyDescent="0.3">
      <c r="A227" s="14" t="s">
        <v>773</v>
      </c>
      <c r="B227" s="184" t="s">
        <v>747</v>
      </c>
      <c r="C227" s="204" t="s">
        <v>42</v>
      </c>
      <c r="D227" s="186" t="s">
        <v>749</v>
      </c>
      <c r="E227" s="209" t="s">
        <v>97</v>
      </c>
      <c r="F227" s="142"/>
      <c r="G227" s="142"/>
      <c r="H227" s="142"/>
      <c r="I227" s="142"/>
      <c r="J227" s="142"/>
      <c r="K227" s="16">
        <v>90</v>
      </c>
      <c r="M227" s="110"/>
    </row>
    <row r="228" spans="1:16" x14ac:dyDescent="0.3">
      <c r="A228" s="14"/>
      <c r="B228" s="184"/>
      <c r="C228" s="204"/>
      <c r="D228" s="186"/>
      <c r="E228" s="209"/>
      <c r="F228" s="142"/>
      <c r="G228" s="142"/>
      <c r="H228" s="142"/>
      <c r="I228" s="142"/>
      <c r="J228" s="142"/>
      <c r="K228" s="16"/>
      <c r="M228" s="110"/>
    </row>
    <row r="229" spans="1:16" ht="40.799999999999997" x14ac:dyDescent="0.3">
      <c r="A229" s="13" t="s">
        <v>774</v>
      </c>
      <c r="B229" s="153" t="s">
        <v>750</v>
      </c>
      <c r="C229" s="204" t="s">
        <v>42</v>
      </c>
      <c r="D229" s="161" t="s">
        <v>752</v>
      </c>
      <c r="E229" s="143" t="s">
        <v>97</v>
      </c>
      <c r="F229" s="142"/>
      <c r="G229" s="142"/>
      <c r="H229" s="142"/>
      <c r="I229" s="142"/>
      <c r="J229" s="142"/>
      <c r="K229" s="16">
        <v>32</v>
      </c>
    </row>
    <row r="230" spans="1:16" x14ac:dyDescent="0.3">
      <c r="A230" s="14"/>
      <c r="B230" s="156"/>
      <c r="C230" s="204"/>
      <c r="D230" s="205"/>
      <c r="E230" s="206"/>
      <c r="F230" s="142"/>
      <c r="G230" s="142"/>
      <c r="H230" s="142"/>
      <c r="I230" s="142"/>
      <c r="J230" s="142"/>
      <c r="K230" s="16"/>
    </row>
    <row r="231" spans="1:16" ht="40.799999999999997" x14ac:dyDescent="0.3">
      <c r="A231" s="13" t="s">
        <v>775</v>
      </c>
      <c r="B231" s="153" t="s">
        <v>753</v>
      </c>
      <c r="C231" s="204" t="s">
        <v>42</v>
      </c>
      <c r="D231" s="161" t="s">
        <v>755</v>
      </c>
      <c r="E231" s="143" t="s">
        <v>97</v>
      </c>
      <c r="F231" s="142"/>
      <c r="G231" s="142"/>
      <c r="H231" s="142"/>
      <c r="I231" s="142"/>
      <c r="J231" s="142"/>
      <c r="K231" s="16">
        <v>20</v>
      </c>
    </row>
    <row r="232" spans="1:16" x14ac:dyDescent="0.3">
      <c r="A232" s="13"/>
      <c r="B232" s="153"/>
      <c r="C232" s="143"/>
      <c r="D232" s="161"/>
      <c r="E232" s="143"/>
      <c r="F232" s="142"/>
      <c r="G232" s="142"/>
      <c r="H232" s="142"/>
      <c r="I232" s="142"/>
      <c r="J232" s="142"/>
      <c r="K232" s="16"/>
    </row>
    <row r="233" spans="1:16" ht="40.799999999999997" x14ac:dyDescent="0.3">
      <c r="A233" s="13" t="s">
        <v>776</v>
      </c>
      <c r="B233" s="153" t="s">
        <v>756</v>
      </c>
      <c r="C233" s="204" t="s">
        <v>42</v>
      </c>
      <c r="D233" s="161" t="s">
        <v>758</v>
      </c>
      <c r="E233" s="143" t="s">
        <v>97</v>
      </c>
      <c r="F233" s="142"/>
      <c r="G233" s="142"/>
      <c r="H233" s="142"/>
      <c r="I233" s="142"/>
      <c r="J233" s="142"/>
      <c r="K233" s="16">
        <v>90</v>
      </c>
    </row>
    <row r="234" spans="1:16" x14ac:dyDescent="0.3">
      <c r="A234" s="13"/>
      <c r="B234" s="153"/>
      <c r="C234" s="143"/>
      <c r="D234" s="214"/>
      <c r="E234" s="143"/>
      <c r="F234" s="142"/>
      <c r="G234" s="142"/>
      <c r="H234" s="142"/>
      <c r="I234" s="142"/>
      <c r="J234" s="142"/>
      <c r="K234" s="16"/>
    </row>
    <row r="235" spans="1:16" ht="20.399999999999999" x14ac:dyDescent="0.3">
      <c r="A235" s="13" t="s">
        <v>777</v>
      </c>
      <c r="B235" s="153" t="s">
        <v>760</v>
      </c>
      <c r="C235" s="143" t="s">
        <v>7</v>
      </c>
      <c r="D235" s="161" t="s">
        <v>761</v>
      </c>
      <c r="E235" s="143" t="s">
        <v>36</v>
      </c>
      <c r="F235" s="142"/>
      <c r="G235" s="142"/>
      <c r="H235" s="142"/>
      <c r="I235" s="142"/>
      <c r="J235" s="142"/>
      <c r="K235" s="16">
        <v>13</v>
      </c>
      <c r="M235" s="5" t="s">
        <v>759</v>
      </c>
    </row>
    <row r="236" spans="1:16" x14ac:dyDescent="0.3">
      <c r="A236" s="14"/>
      <c r="B236" s="185"/>
      <c r="C236" s="204"/>
      <c r="D236" s="186"/>
      <c r="E236" s="178"/>
      <c r="F236" s="142"/>
      <c r="G236" s="142"/>
      <c r="H236" s="142"/>
      <c r="I236" s="142"/>
      <c r="J236" s="142"/>
      <c r="K236" s="16"/>
    </row>
    <row r="237" spans="1:16" x14ac:dyDescent="0.3">
      <c r="A237" s="107" t="s">
        <v>29</v>
      </c>
      <c r="B237" s="172"/>
      <c r="C237" s="173"/>
      <c r="D237" s="182" t="s">
        <v>33</v>
      </c>
      <c r="E237" s="173"/>
      <c r="F237" s="176"/>
      <c r="G237" s="176"/>
      <c r="H237" s="176"/>
      <c r="I237" s="176"/>
      <c r="J237" s="176"/>
      <c r="K237" s="109"/>
    </row>
    <row r="238" spans="1:16" ht="30.6" x14ac:dyDescent="0.3">
      <c r="A238" s="14" t="s">
        <v>30</v>
      </c>
      <c r="B238" s="156" t="s">
        <v>381</v>
      </c>
      <c r="C238" s="204" t="s">
        <v>43</v>
      </c>
      <c r="D238" s="161" t="s">
        <v>382</v>
      </c>
      <c r="E238" s="209" t="s">
        <v>97</v>
      </c>
      <c r="F238" s="148"/>
      <c r="G238" s="142"/>
      <c r="H238" s="142"/>
      <c r="I238" s="148"/>
      <c r="J238" s="148"/>
      <c r="K238" s="120">
        <f>K239</f>
        <v>9.6</v>
      </c>
      <c r="M238" s="49" t="s">
        <v>380</v>
      </c>
      <c r="N238"/>
      <c r="O238"/>
      <c r="P238"/>
    </row>
    <row r="239" spans="1:16" x14ac:dyDescent="0.3">
      <c r="A239" s="14"/>
      <c r="B239" s="156"/>
      <c r="C239" s="143"/>
      <c r="D239" s="161" t="s">
        <v>277</v>
      </c>
      <c r="E239" s="209"/>
      <c r="F239" s="148"/>
      <c r="G239" s="142">
        <v>4.8</v>
      </c>
      <c r="H239" s="142">
        <v>2</v>
      </c>
      <c r="I239" s="148"/>
      <c r="J239" s="148"/>
      <c r="K239" s="187">
        <f>G239*H239</f>
        <v>9.6</v>
      </c>
    </row>
    <row r="240" spans="1:16" x14ac:dyDescent="0.3">
      <c r="A240" s="14"/>
      <c r="B240" s="156"/>
      <c r="C240" s="143"/>
      <c r="D240" s="161"/>
      <c r="E240" s="209"/>
      <c r="F240" s="148"/>
      <c r="G240" s="148"/>
      <c r="H240" s="148"/>
      <c r="I240" s="148"/>
      <c r="J240" s="148"/>
      <c r="K240" s="120"/>
    </row>
    <row r="241" spans="1:11" ht="20.399999999999999" x14ac:dyDescent="0.3">
      <c r="A241" s="14" t="s">
        <v>31</v>
      </c>
      <c r="B241" s="153">
        <v>98510</v>
      </c>
      <c r="C241" s="204" t="s">
        <v>7</v>
      </c>
      <c r="D241" s="161" t="s">
        <v>147</v>
      </c>
      <c r="E241" s="209" t="s">
        <v>36</v>
      </c>
      <c r="F241" s="148"/>
      <c r="G241" s="142"/>
      <c r="H241" s="148"/>
      <c r="I241" s="148"/>
      <c r="J241" s="148"/>
      <c r="K241" s="120">
        <f>K242</f>
        <v>40</v>
      </c>
    </row>
    <row r="242" spans="1:11" x14ac:dyDescent="0.3">
      <c r="A242" s="14"/>
      <c r="B242" s="153"/>
      <c r="C242" s="168"/>
      <c r="D242" s="161" t="s">
        <v>384</v>
      </c>
      <c r="E242" s="209"/>
      <c r="F242" s="142"/>
      <c r="G242" s="142"/>
      <c r="H242" s="142"/>
      <c r="I242" s="142">
        <f>29+3+6+2</f>
        <v>40</v>
      </c>
      <c r="J242" s="142"/>
      <c r="K242" s="187">
        <f>I242</f>
        <v>40</v>
      </c>
    </row>
    <row r="243" spans="1:11" x14ac:dyDescent="0.3">
      <c r="A243" s="14"/>
      <c r="B243" s="153"/>
      <c r="C243" s="168"/>
      <c r="D243" s="161"/>
      <c r="E243" s="209"/>
      <c r="F243" s="148"/>
      <c r="G243" s="148"/>
      <c r="H243" s="148"/>
      <c r="I243" s="148"/>
      <c r="J243" s="148"/>
      <c r="K243" s="120"/>
    </row>
    <row r="244" spans="1:11" x14ac:dyDescent="0.3">
      <c r="A244" s="14" t="s">
        <v>394</v>
      </c>
      <c r="B244" s="153">
        <v>98505</v>
      </c>
      <c r="C244" s="204" t="s">
        <v>7</v>
      </c>
      <c r="D244" s="161" t="s">
        <v>146</v>
      </c>
      <c r="E244" s="209" t="s">
        <v>95</v>
      </c>
      <c r="F244" s="148"/>
      <c r="G244" s="142"/>
      <c r="H244" s="148"/>
      <c r="I244" s="148"/>
      <c r="J244" s="148"/>
      <c r="K244" s="187">
        <f>K245</f>
        <v>75.13</v>
      </c>
    </row>
    <row r="245" spans="1:11" x14ac:dyDescent="0.3">
      <c r="A245" s="14"/>
      <c r="B245" s="153"/>
      <c r="C245" s="168"/>
      <c r="D245" s="161" t="s">
        <v>384</v>
      </c>
      <c r="E245" s="209"/>
      <c r="F245" s="148"/>
      <c r="G245" s="148"/>
      <c r="H245" s="148"/>
      <c r="I245" s="148"/>
      <c r="J245" s="148"/>
      <c r="K245" s="120">
        <f>14.96+33.54+26.63</f>
        <v>75.13</v>
      </c>
    </row>
    <row r="246" spans="1:11" x14ac:dyDescent="0.3">
      <c r="A246" s="14"/>
      <c r="B246" s="153"/>
      <c r="C246" s="168"/>
      <c r="D246" s="161"/>
      <c r="E246" s="209"/>
      <c r="F246" s="148"/>
      <c r="G246" s="148"/>
      <c r="H246" s="148"/>
      <c r="I246" s="148"/>
      <c r="J246" s="148"/>
      <c r="K246" s="120"/>
    </row>
    <row r="247" spans="1:11" ht="20.399999999999999" x14ac:dyDescent="0.3">
      <c r="A247" s="14" t="s">
        <v>395</v>
      </c>
      <c r="B247" s="153" t="s">
        <v>133</v>
      </c>
      <c r="C247" s="168" t="s">
        <v>41</v>
      </c>
      <c r="D247" s="161" t="s">
        <v>390</v>
      </c>
      <c r="E247" s="209" t="s">
        <v>36</v>
      </c>
      <c r="F247" s="148"/>
      <c r="G247" s="148"/>
      <c r="H247" s="148"/>
      <c r="I247" s="148"/>
      <c r="J247" s="148"/>
      <c r="K247" s="120">
        <f>K248</f>
        <v>1</v>
      </c>
    </row>
    <row r="248" spans="1:11" ht="20.399999999999999" x14ac:dyDescent="0.3">
      <c r="A248" s="14"/>
      <c r="B248" s="153"/>
      <c r="C248" s="168"/>
      <c r="D248" s="161" t="s">
        <v>392</v>
      </c>
      <c r="E248" s="209"/>
      <c r="F248" s="148"/>
      <c r="G248" s="148"/>
      <c r="H248" s="148"/>
      <c r="I248" s="148"/>
      <c r="J248" s="148"/>
      <c r="K248" s="187">
        <v>1</v>
      </c>
    </row>
    <row r="249" spans="1:11" x14ac:dyDescent="0.3">
      <c r="A249" s="14"/>
      <c r="B249" s="153"/>
      <c r="C249" s="168"/>
      <c r="D249" s="161"/>
      <c r="E249" s="209"/>
      <c r="F249" s="148"/>
      <c r="G249" s="148"/>
      <c r="H249" s="148"/>
      <c r="I249" s="148"/>
      <c r="J249" s="148"/>
      <c r="K249" s="120"/>
    </row>
    <row r="250" spans="1:11" ht="20.399999999999999" x14ac:dyDescent="0.3">
      <c r="A250" s="14" t="s">
        <v>396</v>
      </c>
      <c r="B250" s="153" t="s">
        <v>243</v>
      </c>
      <c r="C250" s="168" t="s">
        <v>41</v>
      </c>
      <c r="D250" s="161" t="s">
        <v>393</v>
      </c>
      <c r="E250" s="209" t="s">
        <v>36</v>
      </c>
      <c r="F250" s="148"/>
      <c r="G250" s="148"/>
      <c r="H250" s="148"/>
      <c r="I250" s="148"/>
      <c r="J250" s="148"/>
      <c r="K250" s="120">
        <f>K251</f>
        <v>30</v>
      </c>
    </row>
    <row r="251" spans="1:11" ht="20.399999999999999" x14ac:dyDescent="0.3">
      <c r="A251" s="14"/>
      <c r="B251" s="153"/>
      <c r="C251" s="168"/>
      <c r="D251" s="161" t="s">
        <v>383</v>
      </c>
      <c r="E251" s="209"/>
      <c r="F251" s="148"/>
      <c r="G251" s="148"/>
      <c r="H251" s="148"/>
      <c r="I251" s="148"/>
      <c r="J251" s="148"/>
      <c r="K251" s="187">
        <v>30</v>
      </c>
    </row>
    <row r="252" spans="1:11" ht="10.8" thickBot="1" x14ac:dyDescent="0.35">
      <c r="A252" s="50"/>
      <c r="B252" s="157"/>
      <c r="C252" s="51"/>
      <c r="D252" s="52"/>
      <c r="E252" s="53"/>
      <c r="F252" s="54"/>
      <c r="G252" s="54"/>
      <c r="H252" s="54"/>
      <c r="I252" s="54"/>
      <c r="J252" s="54"/>
      <c r="K252" s="55"/>
    </row>
    <row r="253" spans="1:11" x14ac:dyDescent="0.3">
      <c r="F253" s="19"/>
      <c r="G253" s="19"/>
      <c r="H253" s="19"/>
      <c r="I253" s="19"/>
      <c r="J253" s="19"/>
      <c r="K253" s="19"/>
    </row>
    <row r="254" spans="1:11" x14ac:dyDescent="0.3">
      <c r="F254" s="19"/>
      <c r="G254" s="19"/>
      <c r="H254" s="19"/>
      <c r="I254" s="19"/>
      <c r="J254" s="19"/>
      <c r="K254" s="19"/>
    </row>
    <row r="255" spans="1:11" x14ac:dyDescent="0.3">
      <c r="F255" s="19"/>
      <c r="G255" s="19"/>
      <c r="H255" s="19"/>
      <c r="I255" s="19"/>
      <c r="J255" s="19"/>
      <c r="K255" s="19"/>
    </row>
    <row r="256" spans="1:11" x14ac:dyDescent="0.3">
      <c r="F256" s="19"/>
      <c r="G256" s="19"/>
      <c r="H256" s="19"/>
      <c r="I256" s="19"/>
      <c r="J256" s="19"/>
      <c r="K256" s="19"/>
    </row>
    <row r="257" spans="6:11" x14ac:dyDescent="0.3">
      <c r="F257" s="19"/>
      <c r="G257" s="19"/>
      <c r="H257" s="19"/>
      <c r="I257" s="19"/>
      <c r="J257" s="19"/>
      <c r="K257" s="19"/>
    </row>
    <row r="258" spans="6:11" x14ac:dyDescent="0.3">
      <c r="F258" s="19"/>
      <c r="G258" s="19"/>
      <c r="H258" s="19"/>
      <c r="I258" s="19"/>
      <c r="J258" s="19"/>
      <c r="K258" s="19"/>
    </row>
    <row r="259" spans="6:11" x14ac:dyDescent="0.3">
      <c r="F259" s="19"/>
      <c r="G259" s="19"/>
      <c r="H259" s="19"/>
      <c r="I259" s="19"/>
      <c r="J259" s="19"/>
      <c r="K259" s="19"/>
    </row>
  </sheetData>
  <mergeCells count="3">
    <mergeCell ref="K10:K11"/>
    <mergeCell ref="A2:K2"/>
    <mergeCell ref="F10:J10"/>
  </mergeCells>
  <phoneticPr fontId="28" type="noConversion"/>
  <conditionalFormatting sqref="K186:K198 K200:K206">
    <cfRule type="cellIs" dxfId="9" priority="3" stopIfTrue="1" operator="equal">
      <formula>0</formula>
    </cfRule>
  </conditionalFormatting>
  <conditionalFormatting sqref="K237:K251">
    <cfRule type="cellIs" dxfId="8" priority="50" stopIfTrue="1" operator="equal">
      <formula>0</formula>
    </cfRule>
  </conditionalFormatting>
  <printOptions horizontalCentered="1"/>
  <pageMargins left="0.51181102362204722" right="0.51181102362204722" top="0.98425196850393704" bottom="0.59055118110236227" header="0.19685039370078741" footer="0.31496062992125984"/>
  <pageSetup paperSize="9" scale="95" orientation="landscape" r:id="rId1"/>
  <headerFooter>
    <oddHeader>&amp;L&amp;G&amp;R&amp;G</oddHeader>
    <oddFooter>&amp;RPágina &amp;P de &amp;N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219"/>
  <sheetViews>
    <sheetView topLeftCell="J10" workbookViewId="0">
      <selection activeCell="U21" sqref="U21"/>
    </sheetView>
  </sheetViews>
  <sheetFormatPr defaultRowHeight="14.4" x14ac:dyDescent="0.3"/>
  <cols>
    <col min="1" max="4" width="5.6640625" style="60" hidden="1" customWidth="1"/>
    <col min="5" max="5" width="11.33203125" style="60" hidden="1" customWidth="1"/>
    <col min="6" max="6" width="11.44140625" style="60" hidden="1" customWidth="1"/>
    <col min="7" max="7" width="11.88671875" style="60" hidden="1" customWidth="1"/>
    <col min="8" max="8" width="10.6640625" hidden="1" customWidth="1"/>
    <col min="9" max="9" width="3.6640625" hidden="1" customWidth="1"/>
    <col min="10" max="15" width="10.6640625" style="60" customWidth="1"/>
    <col min="16" max="16" width="12.88671875" style="60" customWidth="1"/>
    <col min="17" max="19" width="10.6640625" style="60" customWidth="1"/>
    <col min="257" max="263" width="0" hidden="1" customWidth="1"/>
    <col min="264" max="264" width="10.6640625" customWidth="1"/>
    <col min="265" max="265" width="3.6640625" customWidth="1"/>
    <col min="266" max="271" width="10.6640625" customWidth="1"/>
    <col min="272" max="272" width="12.88671875" customWidth="1"/>
    <col min="273" max="275" width="10.6640625" customWidth="1"/>
    <col min="513" max="519" width="0" hidden="1" customWidth="1"/>
    <col min="520" max="520" width="10.6640625" customWidth="1"/>
    <col min="521" max="521" width="3.6640625" customWidth="1"/>
    <col min="522" max="527" width="10.6640625" customWidth="1"/>
    <col min="528" max="528" width="12.88671875" customWidth="1"/>
    <col min="529" max="531" width="10.6640625" customWidth="1"/>
    <col min="769" max="775" width="0" hidden="1" customWidth="1"/>
    <col min="776" max="776" width="10.6640625" customWidth="1"/>
    <col min="777" max="777" width="3.6640625" customWidth="1"/>
    <col min="778" max="783" width="10.6640625" customWidth="1"/>
    <col min="784" max="784" width="12.88671875" customWidth="1"/>
    <col min="785" max="787" width="10.6640625" customWidth="1"/>
    <col min="1025" max="1031" width="0" hidden="1" customWidth="1"/>
    <col min="1032" max="1032" width="10.6640625" customWidth="1"/>
    <col min="1033" max="1033" width="3.6640625" customWidth="1"/>
    <col min="1034" max="1039" width="10.6640625" customWidth="1"/>
    <col min="1040" max="1040" width="12.88671875" customWidth="1"/>
    <col min="1041" max="1043" width="10.6640625" customWidth="1"/>
    <col min="1281" max="1287" width="0" hidden="1" customWidth="1"/>
    <col min="1288" max="1288" width="10.6640625" customWidth="1"/>
    <col min="1289" max="1289" width="3.6640625" customWidth="1"/>
    <col min="1290" max="1295" width="10.6640625" customWidth="1"/>
    <col min="1296" max="1296" width="12.88671875" customWidth="1"/>
    <col min="1297" max="1299" width="10.6640625" customWidth="1"/>
    <col min="1537" max="1543" width="0" hidden="1" customWidth="1"/>
    <col min="1544" max="1544" width="10.6640625" customWidth="1"/>
    <col min="1545" max="1545" width="3.6640625" customWidth="1"/>
    <col min="1546" max="1551" width="10.6640625" customWidth="1"/>
    <col min="1552" max="1552" width="12.88671875" customWidth="1"/>
    <col min="1553" max="1555" width="10.6640625" customWidth="1"/>
    <col min="1793" max="1799" width="0" hidden="1" customWidth="1"/>
    <col min="1800" max="1800" width="10.6640625" customWidth="1"/>
    <col min="1801" max="1801" width="3.6640625" customWidth="1"/>
    <col min="1802" max="1807" width="10.6640625" customWidth="1"/>
    <col min="1808" max="1808" width="12.88671875" customWidth="1"/>
    <col min="1809" max="1811" width="10.6640625" customWidth="1"/>
    <col min="2049" max="2055" width="0" hidden="1" customWidth="1"/>
    <col min="2056" max="2056" width="10.6640625" customWidth="1"/>
    <col min="2057" max="2057" width="3.6640625" customWidth="1"/>
    <col min="2058" max="2063" width="10.6640625" customWidth="1"/>
    <col min="2064" max="2064" width="12.88671875" customWidth="1"/>
    <col min="2065" max="2067" width="10.6640625" customWidth="1"/>
    <col min="2305" max="2311" width="0" hidden="1" customWidth="1"/>
    <col min="2312" max="2312" width="10.6640625" customWidth="1"/>
    <col min="2313" max="2313" width="3.6640625" customWidth="1"/>
    <col min="2314" max="2319" width="10.6640625" customWidth="1"/>
    <col min="2320" max="2320" width="12.88671875" customWidth="1"/>
    <col min="2321" max="2323" width="10.6640625" customWidth="1"/>
    <col min="2561" max="2567" width="0" hidden="1" customWidth="1"/>
    <col min="2568" max="2568" width="10.6640625" customWidth="1"/>
    <col min="2569" max="2569" width="3.6640625" customWidth="1"/>
    <col min="2570" max="2575" width="10.6640625" customWidth="1"/>
    <col min="2576" max="2576" width="12.88671875" customWidth="1"/>
    <col min="2577" max="2579" width="10.6640625" customWidth="1"/>
    <col min="2817" max="2823" width="0" hidden="1" customWidth="1"/>
    <col min="2824" max="2824" width="10.6640625" customWidth="1"/>
    <col min="2825" max="2825" width="3.6640625" customWidth="1"/>
    <col min="2826" max="2831" width="10.6640625" customWidth="1"/>
    <col min="2832" max="2832" width="12.88671875" customWidth="1"/>
    <col min="2833" max="2835" width="10.6640625" customWidth="1"/>
    <col min="3073" max="3079" width="0" hidden="1" customWidth="1"/>
    <col min="3080" max="3080" width="10.6640625" customWidth="1"/>
    <col min="3081" max="3081" width="3.6640625" customWidth="1"/>
    <col min="3082" max="3087" width="10.6640625" customWidth="1"/>
    <col min="3088" max="3088" width="12.88671875" customWidth="1"/>
    <col min="3089" max="3091" width="10.6640625" customWidth="1"/>
    <col min="3329" max="3335" width="0" hidden="1" customWidth="1"/>
    <col min="3336" max="3336" width="10.6640625" customWidth="1"/>
    <col min="3337" max="3337" width="3.6640625" customWidth="1"/>
    <col min="3338" max="3343" width="10.6640625" customWidth="1"/>
    <col min="3344" max="3344" width="12.88671875" customWidth="1"/>
    <col min="3345" max="3347" width="10.6640625" customWidth="1"/>
    <col min="3585" max="3591" width="0" hidden="1" customWidth="1"/>
    <col min="3592" max="3592" width="10.6640625" customWidth="1"/>
    <col min="3593" max="3593" width="3.6640625" customWidth="1"/>
    <col min="3594" max="3599" width="10.6640625" customWidth="1"/>
    <col min="3600" max="3600" width="12.88671875" customWidth="1"/>
    <col min="3601" max="3603" width="10.6640625" customWidth="1"/>
    <col min="3841" max="3847" width="0" hidden="1" customWidth="1"/>
    <col min="3848" max="3848" width="10.6640625" customWidth="1"/>
    <col min="3849" max="3849" width="3.6640625" customWidth="1"/>
    <col min="3850" max="3855" width="10.6640625" customWidth="1"/>
    <col min="3856" max="3856" width="12.88671875" customWidth="1"/>
    <col min="3857" max="3859" width="10.6640625" customWidth="1"/>
    <col min="4097" max="4103" width="0" hidden="1" customWidth="1"/>
    <col min="4104" max="4104" width="10.6640625" customWidth="1"/>
    <col min="4105" max="4105" width="3.6640625" customWidth="1"/>
    <col min="4106" max="4111" width="10.6640625" customWidth="1"/>
    <col min="4112" max="4112" width="12.88671875" customWidth="1"/>
    <col min="4113" max="4115" width="10.6640625" customWidth="1"/>
    <col min="4353" max="4359" width="0" hidden="1" customWidth="1"/>
    <col min="4360" max="4360" width="10.6640625" customWidth="1"/>
    <col min="4361" max="4361" width="3.6640625" customWidth="1"/>
    <col min="4362" max="4367" width="10.6640625" customWidth="1"/>
    <col min="4368" max="4368" width="12.88671875" customWidth="1"/>
    <col min="4369" max="4371" width="10.6640625" customWidth="1"/>
    <col min="4609" max="4615" width="0" hidden="1" customWidth="1"/>
    <col min="4616" max="4616" width="10.6640625" customWidth="1"/>
    <col min="4617" max="4617" width="3.6640625" customWidth="1"/>
    <col min="4618" max="4623" width="10.6640625" customWidth="1"/>
    <col min="4624" max="4624" width="12.88671875" customWidth="1"/>
    <col min="4625" max="4627" width="10.6640625" customWidth="1"/>
    <col min="4865" max="4871" width="0" hidden="1" customWidth="1"/>
    <col min="4872" max="4872" width="10.6640625" customWidth="1"/>
    <col min="4873" max="4873" width="3.6640625" customWidth="1"/>
    <col min="4874" max="4879" width="10.6640625" customWidth="1"/>
    <col min="4880" max="4880" width="12.88671875" customWidth="1"/>
    <col min="4881" max="4883" width="10.6640625" customWidth="1"/>
    <col min="5121" max="5127" width="0" hidden="1" customWidth="1"/>
    <col min="5128" max="5128" width="10.6640625" customWidth="1"/>
    <col min="5129" max="5129" width="3.6640625" customWidth="1"/>
    <col min="5130" max="5135" width="10.6640625" customWidth="1"/>
    <col min="5136" max="5136" width="12.88671875" customWidth="1"/>
    <col min="5137" max="5139" width="10.6640625" customWidth="1"/>
    <col min="5377" max="5383" width="0" hidden="1" customWidth="1"/>
    <col min="5384" max="5384" width="10.6640625" customWidth="1"/>
    <col min="5385" max="5385" width="3.6640625" customWidth="1"/>
    <col min="5386" max="5391" width="10.6640625" customWidth="1"/>
    <col min="5392" max="5392" width="12.88671875" customWidth="1"/>
    <col min="5393" max="5395" width="10.6640625" customWidth="1"/>
    <col min="5633" max="5639" width="0" hidden="1" customWidth="1"/>
    <col min="5640" max="5640" width="10.6640625" customWidth="1"/>
    <col min="5641" max="5641" width="3.6640625" customWidth="1"/>
    <col min="5642" max="5647" width="10.6640625" customWidth="1"/>
    <col min="5648" max="5648" width="12.88671875" customWidth="1"/>
    <col min="5649" max="5651" width="10.6640625" customWidth="1"/>
    <col min="5889" max="5895" width="0" hidden="1" customWidth="1"/>
    <col min="5896" max="5896" width="10.6640625" customWidth="1"/>
    <col min="5897" max="5897" width="3.6640625" customWidth="1"/>
    <col min="5898" max="5903" width="10.6640625" customWidth="1"/>
    <col min="5904" max="5904" width="12.88671875" customWidth="1"/>
    <col min="5905" max="5907" width="10.6640625" customWidth="1"/>
    <col min="6145" max="6151" width="0" hidden="1" customWidth="1"/>
    <col min="6152" max="6152" width="10.6640625" customWidth="1"/>
    <col min="6153" max="6153" width="3.6640625" customWidth="1"/>
    <col min="6154" max="6159" width="10.6640625" customWidth="1"/>
    <col min="6160" max="6160" width="12.88671875" customWidth="1"/>
    <col min="6161" max="6163" width="10.6640625" customWidth="1"/>
    <col min="6401" max="6407" width="0" hidden="1" customWidth="1"/>
    <col min="6408" max="6408" width="10.6640625" customWidth="1"/>
    <col min="6409" max="6409" width="3.6640625" customWidth="1"/>
    <col min="6410" max="6415" width="10.6640625" customWidth="1"/>
    <col min="6416" max="6416" width="12.88671875" customWidth="1"/>
    <col min="6417" max="6419" width="10.6640625" customWidth="1"/>
    <col min="6657" max="6663" width="0" hidden="1" customWidth="1"/>
    <col min="6664" max="6664" width="10.6640625" customWidth="1"/>
    <col min="6665" max="6665" width="3.6640625" customWidth="1"/>
    <col min="6666" max="6671" width="10.6640625" customWidth="1"/>
    <col min="6672" max="6672" width="12.88671875" customWidth="1"/>
    <col min="6673" max="6675" width="10.6640625" customWidth="1"/>
    <col min="6913" max="6919" width="0" hidden="1" customWidth="1"/>
    <col min="6920" max="6920" width="10.6640625" customWidth="1"/>
    <col min="6921" max="6921" width="3.6640625" customWidth="1"/>
    <col min="6922" max="6927" width="10.6640625" customWidth="1"/>
    <col min="6928" max="6928" width="12.88671875" customWidth="1"/>
    <col min="6929" max="6931" width="10.6640625" customWidth="1"/>
    <col min="7169" max="7175" width="0" hidden="1" customWidth="1"/>
    <col min="7176" max="7176" width="10.6640625" customWidth="1"/>
    <col min="7177" max="7177" width="3.6640625" customWidth="1"/>
    <col min="7178" max="7183" width="10.6640625" customWidth="1"/>
    <col min="7184" max="7184" width="12.88671875" customWidth="1"/>
    <col min="7185" max="7187" width="10.6640625" customWidth="1"/>
    <col min="7425" max="7431" width="0" hidden="1" customWidth="1"/>
    <col min="7432" max="7432" width="10.6640625" customWidth="1"/>
    <col min="7433" max="7433" width="3.6640625" customWidth="1"/>
    <col min="7434" max="7439" width="10.6640625" customWidth="1"/>
    <col min="7440" max="7440" width="12.88671875" customWidth="1"/>
    <col min="7441" max="7443" width="10.6640625" customWidth="1"/>
    <col min="7681" max="7687" width="0" hidden="1" customWidth="1"/>
    <col min="7688" max="7688" width="10.6640625" customWidth="1"/>
    <col min="7689" max="7689" width="3.6640625" customWidth="1"/>
    <col min="7690" max="7695" width="10.6640625" customWidth="1"/>
    <col min="7696" max="7696" width="12.88671875" customWidth="1"/>
    <col min="7697" max="7699" width="10.6640625" customWidth="1"/>
    <col min="7937" max="7943" width="0" hidden="1" customWidth="1"/>
    <col min="7944" max="7944" width="10.6640625" customWidth="1"/>
    <col min="7945" max="7945" width="3.6640625" customWidth="1"/>
    <col min="7946" max="7951" width="10.6640625" customWidth="1"/>
    <col min="7952" max="7952" width="12.88671875" customWidth="1"/>
    <col min="7953" max="7955" width="10.6640625" customWidth="1"/>
    <col min="8193" max="8199" width="0" hidden="1" customWidth="1"/>
    <col min="8200" max="8200" width="10.6640625" customWidth="1"/>
    <col min="8201" max="8201" width="3.6640625" customWidth="1"/>
    <col min="8202" max="8207" width="10.6640625" customWidth="1"/>
    <col min="8208" max="8208" width="12.88671875" customWidth="1"/>
    <col min="8209" max="8211" width="10.6640625" customWidth="1"/>
    <col min="8449" max="8455" width="0" hidden="1" customWidth="1"/>
    <col min="8456" max="8456" width="10.6640625" customWidth="1"/>
    <col min="8457" max="8457" width="3.6640625" customWidth="1"/>
    <col min="8458" max="8463" width="10.6640625" customWidth="1"/>
    <col min="8464" max="8464" width="12.88671875" customWidth="1"/>
    <col min="8465" max="8467" width="10.6640625" customWidth="1"/>
    <col min="8705" max="8711" width="0" hidden="1" customWidth="1"/>
    <col min="8712" max="8712" width="10.6640625" customWidth="1"/>
    <col min="8713" max="8713" width="3.6640625" customWidth="1"/>
    <col min="8714" max="8719" width="10.6640625" customWidth="1"/>
    <col min="8720" max="8720" width="12.88671875" customWidth="1"/>
    <col min="8721" max="8723" width="10.6640625" customWidth="1"/>
    <col min="8961" max="8967" width="0" hidden="1" customWidth="1"/>
    <col min="8968" max="8968" width="10.6640625" customWidth="1"/>
    <col min="8969" max="8969" width="3.6640625" customWidth="1"/>
    <col min="8970" max="8975" width="10.6640625" customWidth="1"/>
    <col min="8976" max="8976" width="12.88671875" customWidth="1"/>
    <col min="8977" max="8979" width="10.6640625" customWidth="1"/>
    <col min="9217" max="9223" width="0" hidden="1" customWidth="1"/>
    <col min="9224" max="9224" width="10.6640625" customWidth="1"/>
    <col min="9225" max="9225" width="3.6640625" customWidth="1"/>
    <col min="9226" max="9231" width="10.6640625" customWidth="1"/>
    <col min="9232" max="9232" width="12.88671875" customWidth="1"/>
    <col min="9233" max="9235" width="10.6640625" customWidth="1"/>
    <col min="9473" max="9479" width="0" hidden="1" customWidth="1"/>
    <col min="9480" max="9480" width="10.6640625" customWidth="1"/>
    <col min="9481" max="9481" width="3.6640625" customWidth="1"/>
    <col min="9482" max="9487" width="10.6640625" customWidth="1"/>
    <col min="9488" max="9488" width="12.88671875" customWidth="1"/>
    <col min="9489" max="9491" width="10.6640625" customWidth="1"/>
    <col min="9729" max="9735" width="0" hidden="1" customWidth="1"/>
    <col min="9736" max="9736" width="10.6640625" customWidth="1"/>
    <col min="9737" max="9737" width="3.6640625" customWidth="1"/>
    <col min="9738" max="9743" width="10.6640625" customWidth="1"/>
    <col min="9744" max="9744" width="12.88671875" customWidth="1"/>
    <col min="9745" max="9747" width="10.6640625" customWidth="1"/>
    <col min="9985" max="9991" width="0" hidden="1" customWidth="1"/>
    <col min="9992" max="9992" width="10.6640625" customWidth="1"/>
    <col min="9993" max="9993" width="3.6640625" customWidth="1"/>
    <col min="9994" max="9999" width="10.6640625" customWidth="1"/>
    <col min="10000" max="10000" width="12.88671875" customWidth="1"/>
    <col min="10001" max="10003" width="10.6640625" customWidth="1"/>
    <col min="10241" max="10247" width="0" hidden="1" customWidth="1"/>
    <col min="10248" max="10248" width="10.6640625" customWidth="1"/>
    <col min="10249" max="10249" width="3.6640625" customWidth="1"/>
    <col min="10250" max="10255" width="10.6640625" customWidth="1"/>
    <col min="10256" max="10256" width="12.88671875" customWidth="1"/>
    <col min="10257" max="10259" width="10.6640625" customWidth="1"/>
    <col min="10497" max="10503" width="0" hidden="1" customWidth="1"/>
    <col min="10504" max="10504" width="10.6640625" customWidth="1"/>
    <col min="10505" max="10505" width="3.6640625" customWidth="1"/>
    <col min="10506" max="10511" width="10.6640625" customWidth="1"/>
    <col min="10512" max="10512" width="12.88671875" customWidth="1"/>
    <col min="10513" max="10515" width="10.6640625" customWidth="1"/>
    <col min="10753" max="10759" width="0" hidden="1" customWidth="1"/>
    <col min="10760" max="10760" width="10.6640625" customWidth="1"/>
    <col min="10761" max="10761" width="3.6640625" customWidth="1"/>
    <col min="10762" max="10767" width="10.6640625" customWidth="1"/>
    <col min="10768" max="10768" width="12.88671875" customWidth="1"/>
    <col min="10769" max="10771" width="10.6640625" customWidth="1"/>
    <col min="11009" max="11015" width="0" hidden="1" customWidth="1"/>
    <col min="11016" max="11016" width="10.6640625" customWidth="1"/>
    <col min="11017" max="11017" width="3.6640625" customWidth="1"/>
    <col min="11018" max="11023" width="10.6640625" customWidth="1"/>
    <col min="11024" max="11024" width="12.88671875" customWidth="1"/>
    <col min="11025" max="11027" width="10.6640625" customWidth="1"/>
    <col min="11265" max="11271" width="0" hidden="1" customWidth="1"/>
    <col min="11272" max="11272" width="10.6640625" customWidth="1"/>
    <col min="11273" max="11273" width="3.6640625" customWidth="1"/>
    <col min="11274" max="11279" width="10.6640625" customWidth="1"/>
    <col min="11280" max="11280" width="12.88671875" customWidth="1"/>
    <col min="11281" max="11283" width="10.6640625" customWidth="1"/>
    <col min="11521" max="11527" width="0" hidden="1" customWidth="1"/>
    <col min="11528" max="11528" width="10.6640625" customWidth="1"/>
    <col min="11529" max="11529" width="3.6640625" customWidth="1"/>
    <col min="11530" max="11535" width="10.6640625" customWidth="1"/>
    <col min="11536" max="11536" width="12.88671875" customWidth="1"/>
    <col min="11537" max="11539" width="10.6640625" customWidth="1"/>
    <col min="11777" max="11783" width="0" hidden="1" customWidth="1"/>
    <col min="11784" max="11784" width="10.6640625" customWidth="1"/>
    <col min="11785" max="11785" width="3.6640625" customWidth="1"/>
    <col min="11786" max="11791" width="10.6640625" customWidth="1"/>
    <col min="11792" max="11792" width="12.88671875" customWidth="1"/>
    <col min="11793" max="11795" width="10.6640625" customWidth="1"/>
    <col min="12033" max="12039" width="0" hidden="1" customWidth="1"/>
    <col min="12040" max="12040" width="10.6640625" customWidth="1"/>
    <col min="12041" max="12041" width="3.6640625" customWidth="1"/>
    <col min="12042" max="12047" width="10.6640625" customWidth="1"/>
    <col min="12048" max="12048" width="12.88671875" customWidth="1"/>
    <col min="12049" max="12051" width="10.6640625" customWidth="1"/>
    <col min="12289" max="12295" width="0" hidden="1" customWidth="1"/>
    <col min="12296" max="12296" width="10.6640625" customWidth="1"/>
    <col min="12297" max="12297" width="3.6640625" customWidth="1"/>
    <col min="12298" max="12303" width="10.6640625" customWidth="1"/>
    <col min="12304" max="12304" width="12.88671875" customWidth="1"/>
    <col min="12305" max="12307" width="10.6640625" customWidth="1"/>
    <col min="12545" max="12551" width="0" hidden="1" customWidth="1"/>
    <col min="12552" max="12552" width="10.6640625" customWidth="1"/>
    <col min="12553" max="12553" width="3.6640625" customWidth="1"/>
    <col min="12554" max="12559" width="10.6640625" customWidth="1"/>
    <col min="12560" max="12560" width="12.88671875" customWidth="1"/>
    <col min="12561" max="12563" width="10.6640625" customWidth="1"/>
    <col min="12801" max="12807" width="0" hidden="1" customWidth="1"/>
    <col min="12808" max="12808" width="10.6640625" customWidth="1"/>
    <col min="12809" max="12809" width="3.6640625" customWidth="1"/>
    <col min="12810" max="12815" width="10.6640625" customWidth="1"/>
    <col min="12816" max="12816" width="12.88671875" customWidth="1"/>
    <col min="12817" max="12819" width="10.6640625" customWidth="1"/>
    <col min="13057" max="13063" width="0" hidden="1" customWidth="1"/>
    <col min="13064" max="13064" width="10.6640625" customWidth="1"/>
    <col min="13065" max="13065" width="3.6640625" customWidth="1"/>
    <col min="13066" max="13071" width="10.6640625" customWidth="1"/>
    <col min="13072" max="13072" width="12.88671875" customWidth="1"/>
    <col min="13073" max="13075" width="10.6640625" customWidth="1"/>
    <col min="13313" max="13319" width="0" hidden="1" customWidth="1"/>
    <col min="13320" max="13320" width="10.6640625" customWidth="1"/>
    <col min="13321" max="13321" width="3.6640625" customWidth="1"/>
    <col min="13322" max="13327" width="10.6640625" customWidth="1"/>
    <col min="13328" max="13328" width="12.88671875" customWidth="1"/>
    <col min="13329" max="13331" width="10.6640625" customWidth="1"/>
    <col min="13569" max="13575" width="0" hidden="1" customWidth="1"/>
    <col min="13576" max="13576" width="10.6640625" customWidth="1"/>
    <col min="13577" max="13577" width="3.6640625" customWidth="1"/>
    <col min="13578" max="13583" width="10.6640625" customWidth="1"/>
    <col min="13584" max="13584" width="12.88671875" customWidth="1"/>
    <col min="13585" max="13587" width="10.6640625" customWidth="1"/>
    <col min="13825" max="13831" width="0" hidden="1" customWidth="1"/>
    <col min="13832" max="13832" width="10.6640625" customWidth="1"/>
    <col min="13833" max="13833" width="3.6640625" customWidth="1"/>
    <col min="13834" max="13839" width="10.6640625" customWidth="1"/>
    <col min="13840" max="13840" width="12.88671875" customWidth="1"/>
    <col min="13841" max="13843" width="10.6640625" customWidth="1"/>
    <col min="14081" max="14087" width="0" hidden="1" customWidth="1"/>
    <col min="14088" max="14088" width="10.6640625" customWidth="1"/>
    <col min="14089" max="14089" width="3.6640625" customWidth="1"/>
    <col min="14090" max="14095" width="10.6640625" customWidth="1"/>
    <col min="14096" max="14096" width="12.88671875" customWidth="1"/>
    <col min="14097" max="14099" width="10.6640625" customWidth="1"/>
    <col min="14337" max="14343" width="0" hidden="1" customWidth="1"/>
    <col min="14344" max="14344" width="10.6640625" customWidth="1"/>
    <col min="14345" max="14345" width="3.6640625" customWidth="1"/>
    <col min="14346" max="14351" width="10.6640625" customWidth="1"/>
    <col min="14352" max="14352" width="12.88671875" customWidth="1"/>
    <col min="14353" max="14355" width="10.6640625" customWidth="1"/>
    <col min="14593" max="14599" width="0" hidden="1" customWidth="1"/>
    <col min="14600" max="14600" width="10.6640625" customWidth="1"/>
    <col min="14601" max="14601" width="3.6640625" customWidth="1"/>
    <col min="14602" max="14607" width="10.6640625" customWidth="1"/>
    <col min="14608" max="14608" width="12.88671875" customWidth="1"/>
    <col min="14609" max="14611" width="10.6640625" customWidth="1"/>
    <col min="14849" max="14855" width="0" hidden="1" customWidth="1"/>
    <col min="14856" max="14856" width="10.6640625" customWidth="1"/>
    <col min="14857" max="14857" width="3.6640625" customWidth="1"/>
    <col min="14858" max="14863" width="10.6640625" customWidth="1"/>
    <col min="14864" max="14864" width="12.88671875" customWidth="1"/>
    <col min="14865" max="14867" width="10.6640625" customWidth="1"/>
    <col min="15105" max="15111" width="0" hidden="1" customWidth="1"/>
    <col min="15112" max="15112" width="10.6640625" customWidth="1"/>
    <col min="15113" max="15113" width="3.6640625" customWidth="1"/>
    <col min="15114" max="15119" width="10.6640625" customWidth="1"/>
    <col min="15120" max="15120" width="12.88671875" customWidth="1"/>
    <col min="15121" max="15123" width="10.6640625" customWidth="1"/>
    <col min="15361" max="15367" width="0" hidden="1" customWidth="1"/>
    <col min="15368" max="15368" width="10.6640625" customWidth="1"/>
    <col min="15369" max="15369" width="3.6640625" customWidth="1"/>
    <col min="15370" max="15375" width="10.6640625" customWidth="1"/>
    <col min="15376" max="15376" width="12.88671875" customWidth="1"/>
    <col min="15377" max="15379" width="10.6640625" customWidth="1"/>
    <col min="15617" max="15623" width="0" hidden="1" customWidth="1"/>
    <col min="15624" max="15624" width="10.6640625" customWidth="1"/>
    <col min="15625" max="15625" width="3.6640625" customWidth="1"/>
    <col min="15626" max="15631" width="10.6640625" customWidth="1"/>
    <col min="15632" max="15632" width="12.88671875" customWidth="1"/>
    <col min="15633" max="15635" width="10.6640625" customWidth="1"/>
    <col min="15873" max="15879" width="0" hidden="1" customWidth="1"/>
    <col min="15880" max="15880" width="10.6640625" customWidth="1"/>
    <col min="15881" max="15881" width="3.6640625" customWidth="1"/>
    <col min="15882" max="15887" width="10.6640625" customWidth="1"/>
    <col min="15888" max="15888" width="12.88671875" customWidth="1"/>
    <col min="15889" max="15891" width="10.6640625" customWidth="1"/>
    <col min="16129" max="16135" width="0" hidden="1" customWidth="1"/>
    <col min="16136" max="16136" width="10.6640625" customWidth="1"/>
    <col min="16137" max="16137" width="3.6640625" customWidth="1"/>
    <col min="16138" max="16143" width="10.6640625" customWidth="1"/>
    <col min="16144" max="16144" width="12.88671875" customWidth="1"/>
    <col min="16145" max="16147" width="10.6640625" customWidth="1"/>
  </cols>
  <sheetData>
    <row r="1" spans="1:20" ht="15.6" hidden="1" x14ac:dyDescent="0.3">
      <c r="E1" s="61" t="s">
        <v>46</v>
      </c>
      <c r="F1" s="61" t="s">
        <v>47</v>
      </c>
      <c r="G1" s="61" t="s">
        <v>48</v>
      </c>
      <c r="O1" s="62" t="str">
        <f>"Quadro de Composição do BDI"</f>
        <v>Quadro de Composição do BDI</v>
      </c>
      <c r="R1" s="373" t="s">
        <v>107</v>
      </c>
      <c r="S1" s="373"/>
    </row>
    <row r="2" spans="1:20" hidden="1" x14ac:dyDescent="0.3">
      <c r="A2" s="60" t="s">
        <v>49</v>
      </c>
      <c r="B2" s="83" t="s">
        <v>50</v>
      </c>
      <c r="C2" s="60" t="str">
        <f t="shared" ref="C2:C65" si="0">CONCATENATE(A2,"-",B2)</f>
        <v>Construção e Reforma de Edifícios-AC</v>
      </c>
      <c r="E2" s="84">
        <v>0.03</v>
      </c>
      <c r="F2" s="84">
        <v>0.04</v>
      </c>
      <c r="G2" s="84">
        <v>5.5E-2</v>
      </c>
      <c r="R2" s="374" t="s">
        <v>108</v>
      </c>
      <c r="S2" s="374"/>
    </row>
    <row r="3" spans="1:20" hidden="1" x14ac:dyDescent="0.3">
      <c r="A3" s="60" t="str">
        <f>A2</f>
        <v>Construção e Reforma de Edifícios</v>
      </c>
      <c r="B3" s="83" t="s">
        <v>51</v>
      </c>
      <c r="C3" s="60" t="str">
        <f t="shared" si="0"/>
        <v>Construção e Reforma de Edifícios-SG</v>
      </c>
      <c r="E3" s="84">
        <v>8.0000000000000002E-3</v>
      </c>
      <c r="F3" s="84">
        <v>8.0000000000000002E-3</v>
      </c>
      <c r="G3" s="84">
        <v>0.01</v>
      </c>
    </row>
    <row r="4" spans="1:20" hidden="1" x14ac:dyDescent="0.3">
      <c r="A4" s="60" t="str">
        <f>A3</f>
        <v>Construção e Reforma de Edifícios</v>
      </c>
      <c r="B4" s="83" t="s">
        <v>52</v>
      </c>
      <c r="C4" s="60" t="str">
        <f t="shared" si="0"/>
        <v>Construção e Reforma de Edifícios-R</v>
      </c>
      <c r="E4" s="84">
        <v>9.7000000000000003E-3</v>
      </c>
      <c r="F4" s="84">
        <v>1.2699999999999999E-2</v>
      </c>
      <c r="G4" s="84">
        <v>1.2699999999999999E-2</v>
      </c>
      <c r="J4" s="368" t="s">
        <v>109</v>
      </c>
      <c r="K4" s="368"/>
      <c r="L4" s="368" t="s">
        <v>110</v>
      </c>
      <c r="M4" s="368"/>
      <c r="N4" s="368" t="s">
        <v>111</v>
      </c>
      <c r="O4" s="368"/>
      <c r="P4" s="368"/>
      <c r="Q4" s="368"/>
      <c r="R4" s="368"/>
      <c r="S4" s="368"/>
    </row>
    <row r="5" spans="1:20" ht="12.75" hidden="1" customHeight="1" x14ac:dyDescent="0.3">
      <c r="A5" s="60" t="str">
        <f>A4</f>
        <v>Construção e Reforma de Edifícios</v>
      </c>
      <c r="B5" s="83" t="s">
        <v>53</v>
      </c>
      <c r="C5" s="60" t="str">
        <f t="shared" si="0"/>
        <v>Construção e Reforma de Edifícios-DF</v>
      </c>
      <c r="E5" s="84">
        <v>5.8999999999999999E-3</v>
      </c>
      <c r="F5" s="84">
        <v>1.23E-2</v>
      </c>
      <c r="G5" s="84">
        <v>1.3899999999999999E-2</v>
      </c>
      <c r="J5" s="375">
        <f>Import.CR</f>
        <v>0.22120000000000001</v>
      </c>
      <c r="K5" s="375"/>
      <c r="L5" s="375">
        <f>Import.SICONV</f>
        <v>4.0099999999999997E-2</v>
      </c>
      <c r="M5" s="375"/>
      <c r="N5" s="375" t="e">
        <f>BDI</f>
        <v>#REF!</v>
      </c>
      <c r="O5" s="375"/>
      <c r="P5" s="375"/>
      <c r="Q5" s="375"/>
      <c r="R5" s="375"/>
      <c r="S5" s="375"/>
    </row>
    <row r="6" spans="1:20" hidden="1" x14ac:dyDescent="0.3">
      <c r="A6" s="60" t="str">
        <f>A5</f>
        <v>Construção e Reforma de Edifícios</v>
      </c>
      <c r="B6" s="83" t="s">
        <v>54</v>
      </c>
      <c r="C6" s="60" t="str">
        <f t="shared" si="0"/>
        <v>Construção e Reforma de Edifícios-L</v>
      </c>
      <c r="E6" s="84">
        <v>6.1600000000000002E-2</v>
      </c>
      <c r="F6" s="84">
        <v>7.400000000000001E-2</v>
      </c>
      <c r="G6" s="84">
        <v>8.9600000000000013E-2</v>
      </c>
      <c r="I6" s="367" t="s">
        <v>55</v>
      </c>
      <c r="J6" s="63"/>
      <c r="K6" s="63"/>
      <c r="L6" s="63"/>
      <c r="M6" s="63"/>
      <c r="N6" s="63"/>
      <c r="O6" s="63"/>
      <c r="P6" s="63"/>
      <c r="Q6" s="63"/>
      <c r="R6" s="63"/>
      <c r="S6" s="63"/>
    </row>
    <row r="7" spans="1:20" ht="26.4" hidden="1" x14ac:dyDescent="0.3">
      <c r="A7" s="60" t="str">
        <f>A6</f>
        <v>Construção e Reforma de Edifícios</v>
      </c>
      <c r="B7" s="85" t="s">
        <v>56</v>
      </c>
      <c r="C7" s="60" t="str">
        <f t="shared" si="0"/>
        <v>Construção e Reforma de Edifícios-BDI PAD</v>
      </c>
      <c r="E7" s="84">
        <v>0.2034</v>
      </c>
      <c r="F7" s="84">
        <v>0.22120000000000001</v>
      </c>
      <c r="G7" s="84">
        <v>0.25</v>
      </c>
      <c r="I7" s="367"/>
      <c r="J7" s="368" t="s">
        <v>112</v>
      </c>
      <c r="K7" s="368"/>
      <c r="L7" s="368"/>
      <c r="M7" s="368"/>
      <c r="N7" s="368"/>
      <c r="O7" s="368"/>
      <c r="P7" s="368"/>
      <c r="Q7" s="368"/>
      <c r="R7" s="368"/>
      <c r="S7" s="368"/>
    </row>
    <row r="8" spans="1:20" hidden="1" x14ac:dyDescent="0.3">
      <c r="A8" s="60" t="s">
        <v>57</v>
      </c>
      <c r="B8" s="83" t="s">
        <v>50</v>
      </c>
      <c r="C8" s="60" t="str">
        <f t="shared" si="0"/>
        <v>Construção de Praças Urbanas, Rodovias, Ferrovias e recapeamento e pavimentação de vias urbanas-AC</v>
      </c>
      <c r="E8" s="84">
        <v>3.7999999999999999E-2</v>
      </c>
      <c r="F8" s="84">
        <v>4.0099999999999997E-2</v>
      </c>
      <c r="G8" s="84">
        <v>4.6699999999999998E-2</v>
      </c>
      <c r="I8" s="367"/>
      <c r="J8" s="369" t="str">
        <f>Import.Apelido&amp;" / "&amp;Import.DescLote</f>
        <v xml:space="preserve"> / </v>
      </c>
      <c r="K8" s="369"/>
      <c r="L8" s="369"/>
      <c r="M8" s="369"/>
      <c r="N8" s="369"/>
      <c r="O8" s="369"/>
      <c r="P8" s="369"/>
      <c r="Q8" s="369"/>
      <c r="R8" s="369"/>
      <c r="S8" s="369"/>
    </row>
    <row r="9" spans="1:20" hidden="1" x14ac:dyDescent="0.3">
      <c r="A9" s="60" t="s">
        <v>57</v>
      </c>
      <c r="B9" s="83" t="s">
        <v>51</v>
      </c>
      <c r="C9" s="60" t="str">
        <f t="shared" si="0"/>
        <v>Construção de Praças Urbanas, Rodovias, Ferrovias e recapeamento e pavimentação de vias urbanas-SG</v>
      </c>
      <c r="E9" s="84">
        <v>3.2000000000000002E-3</v>
      </c>
      <c r="F9" s="84">
        <v>4.0000000000000001E-3</v>
      </c>
      <c r="G9" s="84">
        <v>7.4000000000000003E-3</v>
      </c>
      <c r="I9" s="367"/>
      <c r="J9" s="63"/>
      <c r="K9" s="63"/>
      <c r="L9" s="63"/>
      <c r="M9" s="63"/>
      <c r="N9" s="63"/>
      <c r="O9" s="63"/>
      <c r="P9" s="63"/>
      <c r="Q9" s="63"/>
      <c r="R9" s="63"/>
      <c r="S9" s="63"/>
    </row>
    <row r="10" spans="1:20" x14ac:dyDescent="0.3">
      <c r="B10" s="83"/>
      <c r="E10" s="84"/>
      <c r="F10" s="84"/>
      <c r="G10" s="84"/>
      <c r="I10" s="367"/>
      <c r="J10" s="6"/>
      <c r="K10" s="6"/>
      <c r="L10" s="6"/>
      <c r="M10" s="6"/>
      <c r="N10" s="5"/>
      <c r="O10" s="5"/>
      <c r="P10" s="5"/>
      <c r="Q10" s="5"/>
      <c r="R10" s="5"/>
      <c r="S10" s="5"/>
      <c r="T10" s="5"/>
    </row>
    <row r="11" spans="1:20" ht="17.399999999999999" customHeight="1" x14ac:dyDescent="0.3">
      <c r="B11" s="83"/>
      <c r="E11" s="84"/>
      <c r="F11" s="84"/>
      <c r="G11" s="84"/>
      <c r="I11" s="367"/>
      <c r="J11" s="376" t="s">
        <v>156</v>
      </c>
      <c r="K11" s="376"/>
      <c r="L11" s="376"/>
      <c r="M11" s="376"/>
      <c r="N11" s="376"/>
      <c r="O11" s="376"/>
      <c r="P11" s="376"/>
      <c r="Q11" s="376"/>
      <c r="R11" s="376"/>
      <c r="S11" s="376"/>
      <c r="T11" s="95"/>
    </row>
    <row r="12" spans="1:20" x14ac:dyDescent="0.3">
      <c r="B12" s="83"/>
      <c r="E12" s="84"/>
      <c r="F12" s="84"/>
      <c r="G12" s="84"/>
      <c r="I12" s="367"/>
      <c r="J12" s="6"/>
      <c r="K12" s="6"/>
      <c r="L12" s="6"/>
      <c r="M12" s="6"/>
      <c r="N12" s="5"/>
      <c r="O12" s="5"/>
      <c r="P12" s="5"/>
      <c r="Q12" s="5"/>
      <c r="R12" s="5"/>
      <c r="S12" s="5"/>
      <c r="T12" s="5"/>
    </row>
    <row r="13" spans="1:20" ht="14.4" customHeight="1" x14ac:dyDescent="0.3">
      <c r="B13" s="83"/>
      <c r="E13" s="84"/>
      <c r="F13" s="84"/>
      <c r="G13" s="84"/>
      <c r="I13" s="367"/>
      <c r="J13" s="117" t="s">
        <v>695</v>
      </c>
      <c r="K13" s="97"/>
      <c r="L13" s="119"/>
      <c r="M13" s="119"/>
      <c r="O13" s="231"/>
      <c r="P13" s="231"/>
      <c r="S13" s="233"/>
      <c r="T13" s="233"/>
    </row>
    <row r="14" spans="1:20" x14ac:dyDescent="0.3">
      <c r="B14" s="83"/>
      <c r="E14" s="84"/>
      <c r="F14" s="84"/>
      <c r="G14" s="84"/>
      <c r="I14" s="367"/>
      <c r="J14" s="117" t="s">
        <v>697</v>
      </c>
      <c r="K14" s="97"/>
      <c r="L14" s="97"/>
      <c r="M14" s="118"/>
      <c r="O14" s="234"/>
      <c r="P14" s="234"/>
      <c r="S14" s="233"/>
      <c r="T14" s="233"/>
    </row>
    <row r="15" spans="1:20" x14ac:dyDescent="0.3">
      <c r="B15" s="83"/>
      <c r="E15" s="84"/>
      <c r="F15" s="84"/>
      <c r="G15" s="84"/>
      <c r="I15" s="367"/>
      <c r="J15" s="117" t="s">
        <v>698</v>
      </c>
      <c r="K15" s="97"/>
      <c r="L15" s="119"/>
      <c r="M15" s="118"/>
      <c r="O15" s="234"/>
      <c r="P15" s="59"/>
      <c r="S15" s="58"/>
      <c r="T15" s="58"/>
    </row>
    <row r="16" spans="1:20" x14ac:dyDescent="0.3">
      <c r="B16" s="83"/>
      <c r="E16" s="84"/>
      <c r="F16" s="84"/>
      <c r="G16" s="84"/>
      <c r="I16" s="367"/>
      <c r="J16" s="117" t="s">
        <v>700</v>
      </c>
      <c r="K16" s="97"/>
      <c r="L16" s="119"/>
      <c r="M16" s="118"/>
      <c r="O16" s="234"/>
      <c r="P16" s="59"/>
      <c r="S16" s="58"/>
      <c r="T16" s="58"/>
    </row>
    <row r="17" spans="1:20" x14ac:dyDescent="0.3">
      <c r="B17" s="83"/>
      <c r="E17" s="84"/>
      <c r="F17" s="84"/>
      <c r="G17" s="84"/>
      <c r="I17" s="367"/>
      <c r="J17" s="236" t="s">
        <v>702</v>
      </c>
      <c r="K17" s="97"/>
      <c r="L17" s="119"/>
      <c r="M17" s="118"/>
      <c r="N17" s="236"/>
      <c r="O17" s="234"/>
      <c r="P17" s="237"/>
      <c r="Q17" s="232"/>
      <c r="R17" s="58"/>
      <c r="S17" s="58"/>
      <c r="T17" s="58"/>
    </row>
    <row r="18" spans="1:20" x14ac:dyDescent="0.3">
      <c r="B18" s="238"/>
      <c r="E18" s="239"/>
      <c r="F18" s="239"/>
      <c r="G18" s="239"/>
      <c r="I18" s="367"/>
      <c r="J18" s="3"/>
      <c r="K18" s="3"/>
      <c r="L18" s="1"/>
      <c r="M18" s="4"/>
      <c r="N18" s="2"/>
      <c r="O18" s="2"/>
      <c r="P18" s="2"/>
      <c r="Q18" s="5"/>
      <c r="R18" s="5"/>
      <c r="S18" s="5"/>
      <c r="T18" s="5"/>
    </row>
    <row r="19" spans="1:20" x14ac:dyDescent="0.3">
      <c r="B19" s="238"/>
      <c r="E19" s="239"/>
      <c r="F19" s="239"/>
      <c r="G19" s="239"/>
      <c r="I19" s="367"/>
      <c r="J19" s="111" t="s">
        <v>696</v>
      </c>
      <c r="K19" s="3"/>
      <c r="L19" s="1"/>
      <c r="M19" s="4"/>
      <c r="N19" s="2"/>
      <c r="O19" s="2"/>
      <c r="P19" s="2"/>
      <c r="Q19" s="5"/>
      <c r="R19" s="5"/>
      <c r="S19" s="5"/>
      <c r="T19" s="5"/>
    </row>
    <row r="20" spans="1:20" x14ac:dyDescent="0.3">
      <c r="B20" s="238"/>
      <c r="E20" s="239"/>
      <c r="F20" s="239"/>
      <c r="G20" s="239"/>
      <c r="I20" s="367"/>
      <c r="J20" s="111" t="s">
        <v>687</v>
      </c>
      <c r="K20" s="3"/>
      <c r="L20" s="1"/>
      <c r="M20" s="4"/>
      <c r="N20" s="2"/>
      <c r="O20" s="2"/>
      <c r="P20" s="2"/>
      <c r="Q20" s="5"/>
      <c r="R20" s="5"/>
      <c r="S20" s="5"/>
      <c r="T20" s="5"/>
    </row>
    <row r="21" spans="1:20" x14ac:dyDescent="0.3">
      <c r="B21" s="238"/>
      <c r="E21" s="239"/>
      <c r="F21" s="239"/>
      <c r="G21" s="239"/>
      <c r="I21" s="367"/>
      <c r="J21" s="111" t="s">
        <v>699</v>
      </c>
      <c r="K21" s="3"/>
      <c r="L21" s="1"/>
      <c r="M21" s="4"/>
      <c r="N21" s="2"/>
      <c r="O21" s="2"/>
      <c r="P21" s="2"/>
      <c r="Q21" s="5"/>
      <c r="R21" s="5"/>
      <c r="S21" s="5"/>
      <c r="T21" s="5"/>
    </row>
    <row r="22" spans="1:20" x14ac:dyDescent="0.3">
      <c r="B22" s="238"/>
      <c r="E22" s="239"/>
      <c r="F22" s="239"/>
      <c r="G22" s="239"/>
      <c r="I22" s="367"/>
      <c r="J22" s="111" t="s">
        <v>701</v>
      </c>
      <c r="K22" s="3"/>
      <c r="L22" s="1"/>
      <c r="M22" s="4"/>
      <c r="N22" s="2"/>
      <c r="O22" s="2"/>
      <c r="P22" s="2"/>
      <c r="Q22" s="5"/>
      <c r="R22" s="5"/>
      <c r="S22" s="5"/>
      <c r="T22" s="5"/>
    </row>
    <row r="23" spans="1:20" x14ac:dyDescent="0.3">
      <c r="B23" s="238"/>
      <c r="E23" s="239"/>
      <c r="F23" s="239"/>
      <c r="G23" s="239"/>
      <c r="I23" s="367"/>
      <c r="J23" s="111"/>
      <c r="K23" s="3"/>
      <c r="L23" s="1"/>
      <c r="M23" s="4"/>
      <c r="N23" s="2"/>
      <c r="O23" s="2"/>
      <c r="P23" s="2"/>
      <c r="Q23" s="5"/>
      <c r="R23" s="5"/>
      <c r="S23" s="5"/>
      <c r="T23" s="5"/>
    </row>
    <row r="24" spans="1:20" ht="15.6" x14ac:dyDescent="0.3">
      <c r="B24" s="238"/>
      <c r="E24" s="239"/>
      <c r="F24" s="239"/>
      <c r="G24" s="239"/>
      <c r="I24" s="367"/>
      <c r="J24" s="377" t="s">
        <v>704</v>
      </c>
      <c r="K24" s="377"/>
      <c r="L24" s="377"/>
      <c r="M24" s="377"/>
      <c r="N24" s="377"/>
      <c r="O24" s="377"/>
      <c r="P24" s="377"/>
      <c r="Q24" s="377"/>
      <c r="R24" s="377"/>
      <c r="S24" s="377"/>
      <c r="T24" s="5"/>
    </row>
    <row r="25" spans="1:20" x14ac:dyDescent="0.3">
      <c r="B25" s="83"/>
      <c r="E25" s="84"/>
      <c r="F25" s="84"/>
      <c r="G25" s="84"/>
      <c r="I25" s="367"/>
      <c r="J25" s="3"/>
      <c r="K25" s="3"/>
      <c r="L25" s="1"/>
      <c r="M25" s="4"/>
      <c r="N25" s="2"/>
      <c r="O25" s="2"/>
      <c r="P25" s="2"/>
      <c r="Q25" s="5"/>
      <c r="R25" s="5"/>
      <c r="S25" s="5"/>
      <c r="T25" s="5"/>
    </row>
    <row r="26" spans="1:20" ht="12.75" customHeight="1" x14ac:dyDescent="0.3">
      <c r="A26" s="60" t="s">
        <v>57</v>
      </c>
      <c r="B26" s="83" t="s">
        <v>52</v>
      </c>
      <c r="C26" s="60" t="str">
        <f t="shared" si="0"/>
        <v>Construção de Praças Urbanas, Rodovias, Ferrovias e recapeamento e pavimentação de vias urbanas-R</v>
      </c>
      <c r="E26" s="84">
        <v>5.0000000000000001E-3</v>
      </c>
      <c r="F26" s="84">
        <v>5.6000000000000008E-3</v>
      </c>
      <c r="G26" s="84">
        <v>9.7000000000000003E-3</v>
      </c>
      <c r="I26" s="367"/>
      <c r="J26" s="370" t="s">
        <v>58</v>
      </c>
      <c r="K26" s="370"/>
      <c r="L26" s="370"/>
      <c r="M26" s="370"/>
      <c r="N26" s="370"/>
      <c r="O26" s="370"/>
      <c r="P26" s="370"/>
      <c r="Q26" s="370"/>
      <c r="R26" s="371">
        <v>0.5</v>
      </c>
      <c r="S26" s="371"/>
    </row>
    <row r="27" spans="1:20" ht="12.75" customHeight="1" x14ac:dyDescent="0.3">
      <c r="A27" s="60" t="s">
        <v>57</v>
      </c>
      <c r="B27" s="83" t="s">
        <v>53</v>
      </c>
      <c r="C27" s="60" t="str">
        <f t="shared" si="0"/>
        <v>Construção de Praças Urbanas, Rodovias, Ferrovias e recapeamento e pavimentação de vias urbanas-DF</v>
      </c>
      <c r="E27" s="84">
        <v>1.0200000000000001E-2</v>
      </c>
      <c r="F27" s="84">
        <v>1.11E-2</v>
      </c>
      <c r="G27" s="84">
        <v>1.21E-2</v>
      </c>
      <c r="I27" s="20" t="s">
        <v>59</v>
      </c>
      <c r="J27" s="372" t="s">
        <v>60</v>
      </c>
      <c r="K27" s="372"/>
      <c r="L27" s="372"/>
      <c r="M27" s="372"/>
      <c r="N27" s="372"/>
      <c r="O27" s="372"/>
      <c r="P27" s="372"/>
      <c r="Q27" s="372"/>
      <c r="R27" s="371">
        <v>0.05</v>
      </c>
      <c r="S27" s="371"/>
    </row>
    <row r="28" spans="1:20" hidden="1" x14ac:dyDescent="0.3">
      <c r="A28" s="60" t="s">
        <v>57</v>
      </c>
      <c r="B28" s="83" t="s">
        <v>54</v>
      </c>
      <c r="C28" s="60" t="str">
        <f t="shared" si="0"/>
        <v>Construção de Praças Urbanas, Rodovias, Ferrovias e recapeamento e pavimentação de vias urbanas-L</v>
      </c>
      <c r="E28" s="84">
        <v>6.6400000000000001E-2</v>
      </c>
      <c r="F28" s="84">
        <v>7.2999999999999995E-2</v>
      </c>
      <c r="G28" s="84">
        <v>8.6899999999999991E-2</v>
      </c>
      <c r="I28" t="s">
        <v>61</v>
      </c>
      <c r="J28" s="81"/>
      <c r="K28" s="81"/>
      <c r="L28" s="81"/>
      <c r="M28" s="81"/>
      <c r="N28" s="81"/>
      <c r="O28" s="81"/>
      <c r="P28" s="81"/>
      <c r="Q28" s="81"/>
      <c r="R28" s="81"/>
      <c r="S28" s="81"/>
    </row>
    <row r="29" spans="1:20" ht="6.6" customHeight="1" x14ac:dyDescent="0.3">
      <c r="A29" s="60" t="s">
        <v>57</v>
      </c>
      <c r="B29" s="85" t="s">
        <v>56</v>
      </c>
      <c r="C29" s="60" t="str">
        <f t="shared" si="0"/>
        <v>Construção de Praças Urbanas, Rodovias, Ferrovias e recapeamento e pavimentação de vias urbanas-BDI PAD</v>
      </c>
      <c r="E29" s="84">
        <v>0.19600000000000001</v>
      </c>
      <c r="F29" s="84">
        <v>0.2097</v>
      </c>
      <c r="G29" s="84">
        <v>0.24230000000000002</v>
      </c>
      <c r="I29" t="s">
        <v>61</v>
      </c>
    </row>
    <row r="30" spans="1:20" ht="15.6" hidden="1" x14ac:dyDescent="0.3">
      <c r="A30" s="60" t="s">
        <v>62</v>
      </c>
      <c r="B30" s="83" t="s">
        <v>50</v>
      </c>
      <c r="C30" s="60" t="str">
        <f t="shared" si="0"/>
        <v>Construção de Redes de Abastecimento de Água, Coleta de Esgoto-AC</v>
      </c>
      <c r="E30" s="84">
        <v>3.4300000000000004E-2</v>
      </c>
      <c r="F30" s="84">
        <v>4.9299999999999997E-2</v>
      </c>
      <c r="G30" s="84">
        <v>6.7099999999999993E-2</v>
      </c>
      <c r="I30" t="s">
        <v>61</v>
      </c>
      <c r="J30" s="387" t="s">
        <v>113</v>
      </c>
      <c r="K30" s="387"/>
      <c r="L30" s="387"/>
      <c r="M30" s="387"/>
      <c r="N30" s="387"/>
      <c r="O30" s="387"/>
      <c r="P30" s="387"/>
      <c r="Q30" s="387"/>
      <c r="R30" s="387"/>
      <c r="S30" s="387"/>
    </row>
    <row r="31" spans="1:20" hidden="1" x14ac:dyDescent="0.3">
      <c r="A31" s="60" t="str">
        <f>A30</f>
        <v>Construção de Redes de Abastecimento de Água, Coleta de Esgoto</v>
      </c>
      <c r="B31" s="83" t="s">
        <v>51</v>
      </c>
      <c r="C31" s="60" t="str">
        <f t="shared" si="0"/>
        <v>Construção de Redes de Abastecimento de Água, Coleta de Esgoto-SG</v>
      </c>
      <c r="E31" s="84">
        <v>2.8000000000000004E-3</v>
      </c>
      <c r="F31" s="84">
        <v>4.8999999999999998E-3</v>
      </c>
      <c r="G31" s="84">
        <v>7.4999999999999997E-3</v>
      </c>
      <c r="I31" t="s">
        <v>61</v>
      </c>
    </row>
    <row r="32" spans="1:20" x14ac:dyDescent="0.3">
      <c r="A32" s="60" t="str">
        <f>A31</f>
        <v>Construção de Redes de Abastecimento de Água, Coleta de Esgoto</v>
      </c>
      <c r="B32" s="83" t="s">
        <v>52</v>
      </c>
      <c r="C32" s="60" t="str">
        <f t="shared" si="0"/>
        <v>Construção de Redes de Abastecimento de Água, Coleta de Esgoto-R</v>
      </c>
      <c r="E32" s="84">
        <v>0.01</v>
      </c>
      <c r="F32" s="84">
        <v>1.3899999999999999E-2</v>
      </c>
      <c r="G32" s="84">
        <v>1.7399999999999999E-2</v>
      </c>
      <c r="I32" t="s">
        <v>61</v>
      </c>
      <c r="J32" s="388" t="s">
        <v>63</v>
      </c>
      <c r="K32" s="388"/>
      <c r="L32" s="388"/>
      <c r="M32" s="388"/>
      <c r="N32" s="388"/>
      <c r="O32" s="388"/>
      <c r="P32" s="388"/>
      <c r="Q32" s="388"/>
      <c r="R32" s="388"/>
      <c r="S32" s="388"/>
    </row>
    <row r="33" spans="1:26" x14ac:dyDescent="0.3">
      <c r="A33" s="60" t="str">
        <f>A32</f>
        <v>Construção de Redes de Abastecimento de Água, Coleta de Esgoto</v>
      </c>
      <c r="B33" s="83" t="s">
        <v>53</v>
      </c>
      <c r="C33" s="60" t="str">
        <f t="shared" si="0"/>
        <v>Construção de Redes de Abastecimento de Água, Coleta de Esgoto-DF</v>
      </c>
      <c r="E33" s="84">
        <v>9.3999999999999986E-3</v>
      </c>
      <c r="F33" s="84">
        <v>9.8999999999999991E-3</v>
      </c>
      <c r="G33" s="84">
        <v>1.1699999999999999E-2</v>
      </c>
      <c r="I33" t="s">
        <v>61</v>
      </c>
      <c r="J33" s="389" t="s">
        <v>57</v>
      </c>
      <c r="K33" s="389"/>
      <c r="L33" s="389"/>
      <c r="M33" s="389"/>
      <c r="N33" s="389"/>
      <c r="O33" s="389"/>
      <c r="P33" s="389"/>
      <c r="Q33" s="389"/>
      <c r="R33" s="389"/>
      <c r="S33" s="389"/>
    </row>
    <row r="34" spans="1:26" x14ac:dyDescent="0.3">
      <c r="A34" s="60" t="str">
        <f>A33</f>
        <v>Construção de Redes de Abastecimento de Água, Coleta de Esgoto</v>
      </c>
      <c r="B34" s="83" t="s">
        <v>54</v>
      </c>
      <c r="C34" s="60" t="str">
        <f t="shared" si="0"/>
        <v>Construção de Redes de Abastecimento de Água, Coleta de Esgoto-L</v>
      </c>
      <c r="E34" s="84">
        <v>6.7400000000000002E-2</v>
      </c>
      <c r="F34" s="84">
        <v>8.0399999999999985E-2</v>
      </c>
      <c r="G34" s="84">
        <v>9.4E-2</v>
      </c>
      <c r="I34" t="s">
        <v>61</v>
      </c>
    </row>
    <row r="35" spans="1:26" ht="12.75" customHeight="1" x14ac:dyDescent="0.3">
      <c r="A35" s="60" t="str">
        <f>A34</f>
        <v>Construção de Redes de Abastecimento de Água, Coleta de Esgoto</v>
      </c>
      <c r="B35" s="85" t="s">
        <v>56</v>
      </c>
      <c r="C35" s="60" t="str">
        <f t="shared" si="0"/>
        <v>Construção de Redes de Abastecimento de Água, Coleta de Esgoto-BDI PAD</v>
      </c>
      <c r="E35" s="84">
        <v>0.20760000000000001</v>
      </c>
      <c r="F35" s="84">
        <v>0.24179999999999999</v>
      </c>
      <c r="G35" s="84">
        <v>0.26440000000000002</v>
      </c>
      <c r="I35" t="s">
        <v>61</v>
      </c>
      <c r="J35" s="390" t="s">
        <v>64</v>
      </c>
      <c r="K35" s="390"/>
      <c r="L35" s="390"/>
      <c r="M35" s="390"/>
      <c r="N35" s="390"/>
      <c r="O35" s="390"/>
      <c r="P35" s="390"/>
      <c r="Q35" s="390"/>
      <c r="R35" s="390" t="s">
        <v>65</v>
      </c>
      <c r="S35" s="391" t="s">
        <v>66</v>
      </c>
      <c r="U35" s="384" t="s">
        <v>67</v>
      </c>
      <c r="V35" s="384"/>
      <c r="W35" s="384"/>
      <c r="X35" s="385" t="s">
        <v>68</v>
      </c>
      <c r="Y35" s="385" t="s">
        <v>69</v>
      </c>
      <c r="Z35" s="385" t="s">
        <v>70</v>
      </c>
    </row>
    <row r="36" spans="1:26" ht="12.75" customHeight="1" x14ac:dyDescent="0.3">
      <c r="A36" s="60" t="s">
        <v>71</v>
      </c>
      <c r="B36" s="83" t="s">
        <v>50</v>
      </c>
      <c r="C36" s="60" t="str">
        <f t="shared" si="0"/>
        <v>Construção e Manutenção de Estações e Redes de Distribuição de Energia Elétrica-AC</v>
      </c>
      <c r="E36" s="84">
        <v>5.2900000000000003E-2</v>
      </c>
      <c r="F36" s="84">
        <v>5.9200000000000003E-2</v>
      </c>
      <c r="G36" s="84">
        <v>7.9299999999999995E-2</v>
      </c>
      <c r="I36" t="s">
        <v>61</v>
      </c>
      <c r="J36" s="390"/>
      <c r="K36" s="390"/>
      <c r="L36" s="390"/>
      <c r="M36" s="390"/>
      <c r="N36" s="390"/>
      <c r="O36" s="390"/>
      <c r="P36" s="390"/>
      <c r="Q36" s="390"/>
      <c r="R36" s="390"/>
      <c r="S36" s="391"/>
      <c r="U36" s="384"/>
      <c r="V36" s="384"/>
      <c r="W36" s="384"/>
      <c r="X36" s="385"/>
      <c r="Y36" s="385"/>
      <c r="Z36" s="385"/>
    </row>
    <row r="37" spans="1:26" ht="15" customHeight="1" x14ac:dyDescent="0.3">
      <c r="A37" s="60" t="str">
        <f>A36</f>
        <v>Construção e Manutenção de Estações e Redes de Distribuição de Energia Elétrica</v>
      </c>
      <c r="B37" s="83" t="s">
        <v>51</v>
      </c>
      <c r="C37" s="60" t="str">
        <f t="shared" si="0"/>
        <v>Construção e Manutenção de Estações e Redes de Distribuição de Energia Elétrica-SG</v>
      </c>
      <c r="E37" s="84">
        <v>2.5000000000000001E-3</v>
      </c>
      <c r="F37" s="84">
        <v>5.1000000000000004E-3</v>
      </c>
      <c r="G37" s="84">
        <v>5.6000000000000008E-3</v>
      </c>
      <c r="I37" t="s">
        <v>61</v>
      </c>
      <c r="J37" s="378" t="str">
        <f>IF($J$33=$A$184,"Encargos Sociais incidentes sobre a mão de obra","Administração Central")</f>
        <v>Administração Central</v>
      </c>
      <c r="K37" s="378"/>
      <c r="L37" s="378"/>
      <c r="M37" s="378"/>
      <c r="N37" s="378"/>
      <c r="O37" s="378"/>
      <c r="P37" s="378"/>
      <c r="Q37" s="378"/>
      <c r="R37" s="86" t="str">
        <f>IF($J33=$A$184,"K1","AC")</f>
        <v>AC</v>
      </c>
      <c r="S37" s="87">
        <f>X37</f>
        <v>3.7999999999999999E-2</v>
      </c>
      <c r="U37" s="386" t="s">
        <v>72</v>
      </c>
      <c r="V37" s="386"/>
      <c r="W37" s="386"/>
      <c r="X37" s="88">
        <f>VLOOKUP(CONCATENATE(J33,"-",R37),$C$2:$G$152,3,FALSE)</f>
        <v>3.7999999999999999E-2</v>
      </c>
      <c r="Y37" s="88">
        <f>VLOOKUP(CONCATENATE(J33,"-",R37),$C$2:$G$152,4,FALSE)</f>
        <v>4.0099999999999997E-2</v>
      </c>
      <c r="Z37" s="88">
        <f>VLOOKUP(CONCATENATE(J33,"-",R37),$C$2:$G$152,5,FALSE)</f>
        <v>4.6699999999999998E-2</v>
      </c>
    </row>
    <row r="38" spans="1:26" ht="15" customHeight="1" x14ac:dyDescent="0.3">
      <c r="A38" s="60" t="str">
        <f>A37</f>
        <v>Construção e Manutenção de Estações e Redes de Distribuição de Energia Elétrica</v>
      </c>
      <c r="B38" s="83" t="s">
        <v>52</v>
      </c>
      <c r="C38" s="60" t="str">
        <f t="shared" si="0"/>
        <v>Construção e Manutenção de Estações e Redes de Distribuição de Energia Elétrica-R</v>
      </c>
      <c r="E38" s="84">
        <v>0.01</v>
      </c>
      <c r="F38" s="84">
        <v>1.4800000000000001E-2</v>
      </c>
      <c r="G38" s="84">
        <v>1.9699999999999999E-2</v>
      </c>
      <c r="I38" t="s">
        <v>61</v>
      </c>
      <c r="J38" s="378" t="str">
        <f>IF($J$33=$A$184,"Administração Central da empresa ou consultoria - overhead","Seguro e Garantia")</f>
        <v>Seguro e Garantia</v>
      </c>
      <c r="K38" s="378"/>
      <c r="L38" s="378"/>
      <c r="M38" s="378"/>
      <c r="N38" s="378"/>
      <c r="O38" s="378"/>
      <c r="P38" s="378"/>
      <c r="Q38" s="378"/>
      <c r="R38" s="86" t="str">
        <f>IF($J33=$A$184,"K2","SG")</f>
        <v>SG</v>
      </c>
      <c r="S38" s="87">
        <f t="shared" ref="S38:S42" si="1">X38</f>
        <v>3.2000000000000002E-3</v>
      </c>
      <c r="U38" s="386" t="s">
        <v>72</v>
      </c>
      <c r="V38" s="386"/>
      <c r="W38" s="386"/>
      <c r="X38" s="88">
        <f>VLOOKUP(CONCATENATE(J33,"-",R38),$C$2:$G$152,3,FALSE)</f>
        <v>3.2000000000000002E-3</v>
      </c>
      <c r="Y38" s="88">
        <f>VLOOKUP(CONCATENATE(J33,"-",R38),$C$2:$G$152,4,FALSE)</f>
        <v>4.0000000000000001E-3</v>
      </c>
      <c r="Z38" s="88">
        <f>VLOOKUP(CONCATENATE(J33,"-",R38),$C$2:$G$152,5,FALSE)</f>
        <v>7.4000000000000003E-3</v>
      </c>
    </row>
    <row r="39" spans="1:26" ht="15" customHeight="1" x14ac:dyDescent="0.3">
      <c r="A39" s="60" t="str">
        <f>A38</f>
        <v>Construção e Manutenção de Estações e Redes de Distribuição de Energia Elétrica</v>
      </c>
      <c r="B39" s="83" t="s">
        <v>53</v>
      </c>
      <c r="C39" s="60" t="str">
        <f t="shared" si="0"/>
        <v>Construção e Manutenção de Estações e Redes de Distribuição de Energia Elétrica-DF</v>
      </c>
      <c r="E39" s="84">
        <v>1.01E-2</v>
      </c>
      <c r="F39" s="84">
        <v>1.0700000000000001E-2</v>
      </c>
      <c r="G39" s="84">
        <v>1.11E-2</v>
      </c>
      <c r="I39" t="s">
        <v>61</v>
      </c>
      <c r="J39" s="378" t="str">
        <f>IF($J$33=$A$184,"","Risco")</f>
        <v>Risco</v>
      </c>
      <c r="K39" s="378"/>
      <c r="L39" s="378"/>
      <c r="M39" s="378"/>
      <c r="N39" s="378"/>
      <c r="O39" s="378"/>
      <c r="P39" s="378"/>
      <c r="Q39" s="378"/>
      <c r="R39" s="86" t="str">
        <f>IF($J33=$A$184,"","R")</f>
        <v>R</v>
      </c>
      <c r="S39" s="87">
        <f t="shared" si="1"/>
        <v>5.0000000000000001E-3</v>
      </c>
      <c r="U39" s="386" t="s">
        <v>72</v>
      </c>
      <c r="V39" s="386"/>
      <c r="W39" s="386"/>
      <c r="X39" s="88">
        <f>VLOOKUP(CONCATENATE(J33,"-",R39),$C$2:$G$152,3,FALSE)</f>
        <v>5.0000000000000001E-3</v>
      </c>
      <c r="Y39" s="88">
        <f>VLOOKUP(CONCATENATE(J33,"-",R39),$C$2:$G$152,4,FALSE)</f>
        <v>5.6000000000000008E-3</v>
      </c>
      <c r="Z39" s="88">
        <f>VLOOKUP(CONCATENATE(J33,"-",R39),$C$2:$G$152,5,FALSE)</f>
        <v>9.7000000000000003E-3</v>
      </c>
    </row>
    <row r="40" spans="1:26" ht="15" customHeight="1" x14ac:dyDescent="0.3">
      <c r="A40" s="60" t="str">
        <f>A39</f>
        <v>Construção e Manutenção de Estações e Redes de Distribuição de Energia Elétrica</v>
      </c>
      <c r="B40" s="83" t="s">
        <v>54</v>
      </c>
      <c r="C40" s="60" t="str">
        <f t="shared" si="0"/>
        <v>Construção e Manutenção de Estações e Redes de Distribuição de Energia Elétrica-L</v>
      </c>
      <c r="E40" s="84">
        <v>0.08</v>
      </c>
      <c r="F40" s="84">
        <v>8.3100000000000007E-2</v>
      </c>
      <c r="G40" s="84">
        <v>9.5100000000000004E-2</v>
      </c>
      <c r="I40" t="s">
        <v>61</v>
      </c>
      <c r="J40" s="378" t="str">
        <f>IF($J$33=$A$184,"","Despesas Financeiras")</f>
        <v>Despesas Financeiras</v>
      </c>
      <c r="K40" s="378"/>
      <c r="L40" s="378"/>
      <c r="M40" s="378"/>
      <c r="N40" s="378"/>
      <c r="O40" s="378"/>
      <c r="P40" s="378"/>
      <c r="Q40" s="378"/>
      <c r="R40" s="86" t="str">
        <f>IF($J33=$A$184,"","DF")</f>
        <v>DF</v>
      </c>
      <c r="S40" s="87">
        <f t="shared" si="1"/>
        <v>1.0200000000000001E-2</v>
      </c>
      <c r="U40" s="386" t="s">
        <v>72</v>
      </c>
      <c r="V40" s="386"/>
      <c r="W40" s="386"/>
      <c r="X40" s="88">
        <f>VLOOKUP(CONCATENATE(J33,"-",R40),$C$2:$G$152,3,FALSE)</f>
        <v>1.0200000000000001E-2</v>
      </c>
      <c r="Y40" s="88">
        <f>VLOOKUP(CONCATENATE(J33,"-",R40),$C$2:$G$152,4,FALSE)</f>
        <v>1.11E-2</v>
      </c>
      <c r="Z40" s="88">
        <f>VLOOKUP(CONCATENATE(J33,"-",R40),$C$2:$G$152,5,FALSE)</f>
        <v>1.21E-2</v>
      </c>
    </row>
    <row r="41" spans="1:26" ht="15" customHeight="1" x14ac:dyDescent="0.3">
      <c r="A41" s="60" t="str">
        <f>A40</f>
        <v>Construção e Manutenção de Estações e Redes de Distribuição de Energia Elétrica</v>
      </c>
      <c r="B41" s="85" t="s">
        <v>56</v>
      </c>
      <c r="C41" s="60" t="str">
        <f t="shared" si="0"/>
        <v>Construção e Manutenção de Estações e Redes de Distribuição de Energia Elétrica-BDI PAD</v>
      </c>
      <c r="E41" s="84">
        <v>0.24</v>
      </c>
      <c r="F41" s="84">
        <v>0.25840000000000002</v>
      </c>
      <c r="G41" s="84">
        <v>0.27860000000000001</v>
      </c>
      <c r="I41" t="s">
        <v>61</v>
      </c>
      <c r="J41" s="378" t="str">
        <f>IF($J$33=$A$184,"Margem bruta da empresa de consultoria","Lucro")</f>
        <v>Lucro</v>
      </c>
      <c r="K41" s="378"/>
      <c r="L41" s="378"/>
      <c r="M41" s="378"/>
      <c r="N41" s="378"/>
      <c r="O41" s="378"/>
      <c r="P41" s="378"/>
      <c r="Q41" s="378"/>
      <c r="R41" s="86" t="str">
        <f>IF($J33=$A$184,"K3","L")</f>
        <v>L</v>
      </c>
      <c r="S41" s="87">
        <f t="shared" si="1"/>
        <v>6.6400000000000001E-2</v>
      </c>
      <c r="U41" s="386" t="s">
        <v>72</v>
      </c>
      <c r="V41" s="386"/>
      <c r="W41" s="386"/>
      <c r="X41" s="88">
        <f>VLOOKUP(CONCATENATE(J33,"-",R41),$C$2:$G$152,3,FALSE)</f>
        <v>6.6400000000000001E-2</v>
      </c>
      <c r="Y41" s="88">
        <f>VLOOKUP(CONCATENATE(J33,"-",R41),$C$2:$G$152,4,FALSE)</f>
        <v>7.2999999999999995E-2</v>
      </c>
      <c r="Z41" s="88">
        <f>VLOOKUP(CONCATENATE(J33,"-",R41),$C$2:$G$152,5,FALSE)</f>
        <v>8.6899999999999991E-2</v>
      </c>
    </row>
    <row r="42" spans="1:26" ht="15" customHeight="1" x14ac:dyDescent="0.3">
      <c r="A42" s="60" t="s">
        <v>73</v>
      </c>
      <c r="B42" s="83" t="s">
        <v>50</v>
      </c>
      <c r="C42" s="60" t="str">
        <f t="shared" si="0"/>
        <v>Obras Portuárias, Marítimas e Fluviais-AC</v>
      </c>
      <c r="E42" s="84">
        <v>0.04</v>
      </c>
      <c r="F42" s="84">
        <v>5.5199999999999999E-2</v>
      </c>
      <c r="G42" s="84">
        <v>7.85E-2</v>
      </c>
      <c r="I42" t="s">
        <v>61</v>
      </c>
      <c r="J42" s="378" t="s">
        <v>74</v>
      </c>
      <c r="K42" s="378"/>
      <c r="L42" s="378"/>
      <c r="M42" s="378"/>
      <c r="N42" s="378"/>
      <c r="O42" s="378"/>
      <c r="P42" s="378"/>
      <c r="Q42" s="378"/>
      <c r="R42" s="86" t="s">
        <v>75</v>
      </c>
      <c r="S42" s="87">
        <f t="shared" si="1"/>
        <v>3.6499999999999998E-2</v>
      </c>
      <c r="U42" s="386" t="s">
        <v>72</v>
      </c>
      <c r="V42" s="386"/>
      <c r="W42" s="386"/>
      <c r="X42" s="88">
        <v>3.6499999999999998E-2</v>
      </c>
      <c r="Y42" s="88">
        <v>3.6499999999999998E-2</v>
      </c>
      <c r="Z42" s="88">
        <v>3.6499999999999998E-2</v>
      </c>
    </row>
    <row r="43" spans="1:26" ht="15" customHeight="1" x14ac:dyDescent="0.3">
      <c r="A43" s="60" t="str">
        <f>A42</f>
        <v>Obras Portuárias, Marítimas e Fluviais</v>
      </c>
      <c r="B43" s="83" t="s">
        <v>51</v>
      </c>
      <c r="C43" s="60" t="str">
        <f t="shared" si="0"/>
        <v>Obras Portuárias, Marítimas e Fluviais-SG</v>
      </c>
      <c r="E43" s="84">
        <v>8.1000000000000013E-3</v>
      </c>
      <c r="F43" s="84">
        <v>1.2199999999999999E-2</v>
      </c>
      <c r="G43" s="84">
        <v>1.9900000000000001E-2</v>
      </c>
      <c r="I43" t="s">
        <v>61</v>
      </c>
      <c r="J43" s="378" t="s">
        <v>76</v>
      </c>
      <c r="K43" s="378"/>
      <c r="L43" s="378"/>
      <c r="M43" s="378"/>
      <c r="N43" s="378"/>
      <c r="O43" s="378"/>
      <c r="P43" s="378"/>
      <c r="Q43" s="378"/>
      <c r="R43" s="86" t="s">
        <v>77</v>
      </c>
      <c r="S43" s="88">
        <f ca="1">IF(AND($J33&lt;&gt;$A$181,COUNTA(OFFSET(S36,1,0,6))&gt;0),$R$27*$R$26,0)</f>
        <v>2.5000000000000001E-2</v>
      </c>
      <c r="U43" s="386" t="s">
        <v>72</v>
      </c>
      <c r="V43" s="386"/>
      <c r="W43" s="386"/>
      <c r="X43" s="88">
        <v>0</v>
      </c>
      <c r="Y43" s="88">
        <v>2.5000000000000001E-2</v>
      </c>
      <c r="Z43" s="88">
        <v>0.05</v>
      </c>
    </row>
    <row r="44" spans="1:26" ht="15" customHeight="1" x14ac:dyDescent="0.3">
      <c r="A44" s="60" t="str">
        <f>A43</f>
        <v>Obras Portuárias, Marítimas e Fluviais</v>
      </c>
      <c r="B44" s="83" t="s">
        <v>52</v>
      </c>
      <c r="C44" s="60" t="str">
        <f t="shared" si="0"/>
        <v>Obras Portuárias, Marítimas e Fluviais-R</v>
      </c>
      <c r="E44" s="84">
        <v>1.46E-2</v>
      </c>
      <c r="F44" s="84">
        <v>2.3199999999999998E-2</v>
      </c>
      <c r="G44" s="84">
        <v>3.1600000000000003E-2</v>
      </c>
      <c r="I44" t="s">
        <v>61</v>
      </c>
      <c r="J44" s="378" t="s">
        <v>78</v>
      </c>
      <c r="K44" s="378"/>
      <c r="L44" s="378"/>
      <c r="M44" s="378"/>
      <c r="N44" s="378"/>
      <c r="O44" s="378"/>
      <c r="P44" s="378"/>
      <c r="Q44" s="378"/>
      <c r="R44" s="86" t="s">
        <v>79</v>
      </c>
      <c r="S44" s="88">
        <v>0</v>
      </c>
      <c r="U44" s="386" t="s">
        <v>72</v>
      </c>
      <c r="V44" s="386"/>
      <c r="W44" s="386"/>
      <c r="X44" s="89">
        <v>0</v>
      </c>
      <c r="Y44" s="89">
        <v>4.4999999999999998E-2</v>
      </c>
      <c r="Z44" s="89">
        <v>4.4999999999999998E-2</v>
      </c>
    </row>
    <row r="45" spans="1:26" ht="15" customHeight="1" x14ac:dyDescent="0.3">
      <c r="A45" s="60" t="str">
        <f>A44</f>
        <v>Obras Portuárias, Marítimas e Fluviais</v>
      </c>
      <c r="B45" s="83" t="s">
        <v>53</v>
      </c>
      <c r="C45" s="60" t="str">
        <f t="shared" si="0"/>
        <v>Obras Portuárias, Marítimas e Fluviais-DF</v>
      </c>
      <c r="E45" s="84">
        <v>9.3999999999999986E-3</v>
      </c>
      <c r="F45" s="84">
        <v>1.0200000000000001E-2</v>
      </c>
      <c r="G45" s="84">
        <v>1.3300000000000001E-2</v>
      </c>
      <c r="I45" t="s">
        <v>61</v>
      </c>
      <c r="J45" s="379" t="s">
        <v>703</v>
      </c>
      <c r="K45" s="379"/>
      <c r="L45" s="379"/>
      <c r="M45" s="379"/>
      <c r="N45" s="379"/>
      <c r="O45" s="379"/>
      <c r="P45" s="379"/>
      <c r="Q45" s="379"/>
      <c r="R45" s="112" t="s">
        <v>56</v>
      </c>
      <c r="S45" s="141">
        <f ca="1">IF($J33=$A$181,0,ROUND((((1+S37+S38+S39)*(1+S40)*(1+S41)/(1-(S42+S43)))-1),4))</f>
        <v>0.2009</v>
      </c>
      <c r="U45" s="384" t="str">
        <f ca="1">IF(OR($J$33=$A$184,$J$33=$A$181,AND(S45&gt;=X45,S45&lt;=Z45)),"OK","FORA DO INTERVALO")</f>
        <v>OK</v>
      </c>
      <c r="V45" s="384"/>
      <c r="W45" s="384"/>
      <c r="X45" s="88">
        <f>IF($J33=$A$181,0,VLOOKUP(CONCATENATE($J33,"-",$R45),$C$2:$G$152,3,FALSE))</f>
        <v>0.19600000000000001</v>
      </c>
      <c r="Y45" s="88">
        <f>IF($J33=$A$181,0,VLOOKUP(CONCATENATE($J33,"-",$R45),$C$2:$G$152,4,FALSE))</f>
        <v>0.2097</v>
      </c>
      <c r="Z45" s="88">
        <f>IF($J33=$A$181,0,VLOOKUP(CONCATENATE($J33,"-",$R45),$C$2:$G$152,5,FALSE))</f>
        <v>0.24230000000000002</v>
      </c>
    </row>
    <row r="46" spans="1:26" ht="15" hidden="1" customHeight="1" x14ac:dyDescent="0.3">
      <c r="A46" s="60" t="str">
        <f>A45</f>
        <v>Obras Portuárias, Marítimas e Fluviais</v>
      </c>
      <c r="B46" s="83" t="s">
        <v>54</v>
      </c>
      <c r="C46" s="60" t="str">
        <f t="shared" si="0"/>
        <v>Obras Portuárias, Marítimas e Fluviais-L</v>
      </c>
      <c r="E46" s="84">
        <v>7.1399999999999991E-2</v>
      </c>
      <c r="F46" s="84">
        <v>8.4000000000000005E-2</v>
      </c>
      <c r="G46" s="84">
        <v>0.1043</v>
      </c>
      <c r="I46" t="s">
        <v>61</v>
      </c>
      <c r="J46" s="396" t="s">
        <v>81</v>
      </c>
      <c r="K46" s="396"/>
      <c r="L46" s="396"/>
      <c r="M46" s="396"/>
      <c r="N46" s="396"/>
      <c r="O46" s="396"/>
      <c r="P46" s="396"/>
      <c r="Q46" s="396"/>
      <c r="R46" s="91" t="s">
        <v>82</v>
      </c>
      <c r="S46" s="92">
        <f ca="1">IF($J33=$A$181,0,ROUND((((1+S37+S38+S39)*(1+S40)*(1+S41)/(1-(S42+S43+S44)))-1),4))</f>
        <v>0.2009</v>
      </c>
    </row>
    <row r="47" spans="1:26" ht="12.6" customHeight="1" x14ac:dyDescent="0.3">
      <c r="A47" s="60" t="str">
        <f>A46</f>
        <v>Obras Portuárias, Marítimas e Fluviais</v>
      </c>
      <c r="B47" s="85" t="s">
        <v>56</v>
      </c>
      <c r="C47" s="60" t="str">
        <f t="shared" si="0"/>
        <v>Obras Portuárias, Marítimas e Fluviais-BDI PAD</v>
      </c>
      <c r="E47" s="84">
        <v>0.22800000000000001</v>
      </c>
      <c r="F47" s="84">
        <v>0.27479999999999999</v>
      </c>
      <c r="G47" s="84">
        <v>0.3095</v>
      </c>
      <c r="I47" t="s">
        <v>61</v>
      </c>
    </row>
    <row r="48" spans="1:26" ht="15.6" hidden="1" x14ac:dyDescent="0.3">
      <c r="A48" s="60" t="s">
        <v>83</v>
      </c>
      <c r="B48" s="83" t="s">
        <v>50</v>
      </c>
      <c r="C48" s="60" t="str">
        <f t="shared" si="0"/>
        <v>Fornecimento de Materiais e Equipamentos (aquisição indireta - em conjunto com licitação de obras)-AC</v>
      </c>
      <c r="E48" s="84">
        <v>1.4999999999999999E-2</v>
      </c>
      <c r="F48" s="84">
        <v>3.4500000000000003E-2</v>
      </c>
      <c r="G48" s="84">
        <v>4.4900000000000002E-2</v>
      </c>
      <c r="I48" t="s">
        <v>61</v>
      </c>
      <c r="J48" s="64" t="str">
        <f ca="1">IF(U45&lt;&gt;"ok","X","")</f>
        <v/>
      </c>
      <c r="K48" s="397" t="str">
        <f ca="1">IF(U45&lt;&gt;"ok","Anexo: Relatório Técnico Circunstanciado justificando a adoção do percentual de cada parcela do BDI.","")</f>
        <v/>
      </c>
      <c r="L48" s="397"/>
      <c r="M48" s="397"/>
      <c r="N48" s="397"/>
      <c r="O48" s="397"/>
      <c r="P48" s="397"/>
      <c r="Q48" s="397"/>
      <c r="R48" s="397"/>
      <c r="S48" s="397"/>
    </row>
    <row r="49" spans="1:19" hidden="1" x14ac:dyDescent="0.3">
      <c r="A49" s="60" t="str">
        <f>A48</f>
        <v>Fornecimento de Materiais e Equipamentos (aquisição indireta - em conjunto com licitação de obras)</v>
      </c>
      <c r="B49" s="83" t="s">
        <v>51</v>
      </c>
      <c r="C49" s="60" t="str">
        <f t="shared" si="0"/>
        <v>Fornecimento de Materiais e Equipamentos (aquisição indireta - em conjunto com licitação de obras)-SG</v>
      </c>
      <c r="E49" s="84">
        <v>3.0000000000000001E-3</v>
      </c>
      <c r="F49" s="84">
        <v>4.7999999999999996E-3</v>
      </c>
      <c r="G49" s="84">
        <v>8.199999999999999E-3</v>
      </c>
      <c r="I49" t="s">
        <v>61</v>
      </c>
    </row>
    <row r="50" spans="1:19" x14ac:dyDescent="0.3">
      <c r="A50" s="60" t="str">
        <f>A49</f>
        <v>Fornecimento de Materiais e Equipamentos (aquisição indireta - em conjunto com licitação de obras)</v>
      </c>
      <c r="B50" s="83" t="s">
        <v>52</v>
      </c>
      <c r="C50" s="60" t="str">
        <f t="shared" si="0"/>
        <v>Fornecimento de Materiais e Equipamentos (aquisição indireta - em conjunto com licitação de obras)-R</v>
      </c>
      <c r="E50" s="84">
        <v>5.6000000000000008E-3</v>
      </c>
      <c r="F50" s="84">
        <v>8.5000000000000006E-3</v>
      </c>
      <c r="G50" s="84">
        <v>8.8999999999999999E-3</v>
      </c>
      <c r="I50" t="s">
        <v>61</v>
      </c>
      <c r="J50" s="345" t="s">
        <v>84</v>
      </c>
      <c r="K50" s="345"/>
      <c r="L50" s="345"/>
      <c r="M50" s="345"/>
      <c r="N50" s="345"/>
      <c r="O50" s="345"/>
      <c r="P50" s="345"/>
      <c r="Q50" s="345"/>
      <c r="R50" s="345"/>
      <c r="S50" s="345"/>
    </row>
    <row r="51" spans="1:19" ht="15.6" x14ac:dyDescent="0.3">
      <c r="A51" s="60" t="str">
        <f>A50</f>
        <v>Fornecimento de Materiais e Equipamentos (aquisição indireta - em conjunto com licitação de obras)</v>
      </c>
      <c r="B51" s="83" t="s">
        <v>53</v>
      </c>
      <c r="C51" s="60" t="str">
        <f t="shared" si="0"/>
        <v>Fornecimento de Materiais e Equipamentos (aquisição indireta - em conjunto com licitação de obras)-DF</v>
      </c>
      <c r="E51" s="84">
        <v>8.5000000000000006E-3</v>
      </c>
      <c r="F51" s="84">
        <v>8.5000000000000006E-3</v>
      </c>
      <c r="G51" s="84">
        <v>1.11E-2</v>
      </c>
      <c r="I51" t="s">
        <v>61</v>
      </c>
      <c r="J51" s="65"/>
      <c r="K51" s="65"/>
      <c r="L51" s="65"/>
      <c r="M51" s="392" t="s">
        <v>85</v>
      </c>
      <c r="N51" s="393" t="str">
        <f>IF($J33=$A$184,"(1+K1+K2)*(1+K3)","(1+AC + S + R + G)*(1 + DF)*(1+L)")</f>
        <v>(1+AC + S + R + G)*(1 + DF)*(1+L)</v>
      </c>
      <c r="O51" s="393"/>
      <c r="P51" s="393"/>
      <c r="Q51" s="394" t="s">
        <v>86</v>
      </c>
      <c r="R51" s="65"/>
      <c r="S51" s="65"/>
    </row>
    <row r="52" spans="1:19" ht="15.6" x14ac:dyDescent="0.3">
      <c r="A52" s="60" t="str">
        <f>A51</f>
        <v>Fornecimento de Materiais e Equipamentos (aquisição indireta - em conjunto com licitação de obras)</v>
      </c>
      <c r="B52" s="83" t="s">
        <v>54</v>
      </c>
      <c r="C52" s="60" t="str">
        <f t="shared" si="0"/>
        <v>Fornecimento de Materiais e Equipamentos (aquisição indireta - em conjunto com licitação de obras)-L</v>
      </c>
      <c r="E52" s="84">
        <v>3.5000000000000003E-2</v>
      </c>
      <c r="F52" s="84">
        <v>5.1100000000000007E-2</v>
      </c>
      <c r="G52" s="84">
        <v>6.2199999999999998E-2</v>
      </c>
      <c r="I52" t="s">
        <v>61</v>
      </c>
      <c r="J52" s="65"/>
      <c r="K52" s="65"/>
      <c r="L52" s="65"/>
      <c r="M52" s="392"/>
      <c r="N52" s="395" t="s">
        <v>114</v>
      </c>
      <c r="O52" s="395"/>
      <c r="P52" s="395"/>
      <c r="Q52" s="394"/>
      <c r="R52" s="65"/>
      <c r="S52" s="65"/>
    </row>
    <row r="53" spans="1:19" ht="15" customHeight="1" x14ac:dyDescent="0.3">
      <c r="A53" s="60" t="str">
        <f>A52</f>
        <v>Fornecimento de Materiais e Equipamentos (aquisição indireta - em conjunto com licitação de obras)</v>
      </c>
      <c r="B53" s="85" t="s">
        <v>56</v>
      </c>
      <c r="C53" s="60" t="str">
        <f t="shared" si="0"/>
        <v>Fornecimento de Materiais e Equipamentos (aquisição indireta - em conjunto com licitação de obras)-BDI PAD</v>
      </c>
      <c r="E53" s="84">
        <v>0.111</v>
      </c>
      <c r="F53" s="84">
        <v>0.14019999999999999</v>
      </c>
      <c r="G53" s="84">
        <v>0.16800000000000001</v>
      </c>
      <c r="I53" t="s">
        <v>61</v>
      </c>
      <c r="J53" s="66"/>
      <c r="K53" s="66"/>
      <c r="L53" s="66"/>
      <c r="M53" s="66"/>
      <c r="N53" s="66"/>
      <c r="O53" s="66"/>
      <c r="P53" s="66"/>
      <c r="Q53" s="66"/>
      <c r="R53" s="66"/>
      <c r="S53" s="66"/>
    </row>
    <row r="54" spans="1:19" ht="29.4" customHeight="1" x14ac:dyDescent="0.3">
      <c r="A54" s="60" t="s">
        <v>87</v>
      </c>
      <c r="B54" s="85" t="s">
        <v>50</v>
      </c>
      <c r="C54" s="60" t="str">
        <f t="shared" si="0"/>
        <v>Fornecimento de Materiais e Equipamentos (aquisição direta)-AC</v>
      </c>
      <c r="E54" s="84" t="s">
        <v>72</v>
      </c>
      <c r="F54" s="84" t="s">
        <v>72</v>
      </c>
      <c r="G54" s="84" t="s">
        <v>72</v>
      </c>
      <c r="I54" t="s">
        <v>61</v>
      </c>
      <c r="J54" s="380" t="str">
        <f>CONCATENATE("Declaro para os devidos fins que, conforme legislação tributária municipal, a base de cálculo deste tipo de obra corresponde à ",$R$26*100,"%, com a respectiva alíquota de ",$R$27*100,"%.")</f>
        <v>Declaro para os devidos fins que, conforme legislação tributária municipal, a base de cálculo deste tipo de obra corresponde à 50%, com a respectiva alíquota de 5%.</v>
      </c>
      <c r="K54" s="380"/>
      <c r="L54" s="380"/>
      <c r="M54" s="380"/>
      <c r="N54" s="380"/>
      <c r="O54" s="380"/>
      <c r="P54" s="380"/>
      <c r="Q54" s="380"/>
      <c r="R54" s="380"/>
      <c r="S54" s="380"/>
    </row>
    <row r="55" spans="1:19" hidden="1" x14ac:dyDescent="0.3">
      <c r="A55" s="60" t="s">
        <v>87</v>
      </c>
      <c r="B55" s="85" t="s">
        <v>51</v>
      </c>
      <c r="C55" s="60" t="str">
        <f t="shared" si="0"/>
        <v>Fornecimento de Materiais e Equipamentos (aquisição direta)-SG</v>
      </c>
      <c r="E55" s="84" t="s">
        <v>72</v>
      </c>
      <c r="F55" s="84" t="s">
        <v>72</v>
      </c>
      <c r="G55" s="84" t="s">
        <v>72</v>
      </c>
      <c r="I55" t="s">
        <v>61</v>
      </c>
    </row>
    <row r="56" spans="1:19" ht="50.1" hidden="1" customHeight="1" x14ac:dyDescent="0.3">
      <c r="A56" s="60" t="s">
        <v>87</v>
      </c>
      <c r="B56" s="85" t="s">
        <v>52</v>
      </c>
      <c r="C56" s="60" t="str">
        <f t="shared" si="0"/>
        <v>Fornecimento de Materiais e Equipamentos (aquisição direta)-R</v>
      </c>
      <c r="E56" s="84" t="s">
        <v>72</v>
      </c>
      <c r="F56" s="84" t="s">
        <v>72</v>
      </c>
      <c r="G56" s="84" t="s">
        <v>72</v>
      </c>
      <c r="I56" t="s">
        <v>61</v>
      </c>
      <c r="J56" s="380"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56" s="380"/>
      <c r="L56" s="380"/>
      <c r="M56" s="380"/>
      <c r="N56" s="380"/>
      <c r="O56" s="380"/>
      <c r="P56" s="380"/>
      <c r="Q56" s="380"/>
      <c r="R56" s="380"/>
      <c r="S56" s="380"/>
    </row>
    <row r="57" spans="1:19" hidden="1" x14ac:dyDescent="0.3">
      <c r="A57" s="60" t="s">
        <v>87</v>
      </c>
      <c r="B57" s="85" t="s">
        <v>53</v>
      </c>
      <c r="C57" s="60" t="str">
        <f t="shared" si="0"/>
        <v>Fornecimento de Materiais e Equipamentos (aquisição direta)-DF</v>
      </c>
      <c r="E57" s="84" t="s">
        <v>72</v>
      </c>
      <c r="F57" s="84" t="s">
        <v>72</v>
      </c>
      <c r="G57" s="84" t="s">
        <v>72</v>
      </c>
      <c r="I57" t="s">
        <v>61</v>
      </c>
    </row>
    <row r="58" spans="1:19" hidden="1" x14ac:dyDescent="0.3">
      <c r="A58" s="60" t="s">
        <v>87</v>
      </c>
      <c r="B58" s="85" t="s">
        <v>54</v>
      </c>
      <c r="C58" s="60" t="str">
        <f t="shared" si="0"/>
        <v>Fornecimento de Materiais e Equipamentos (aquisição direta)-L</v>
      </c>
      <c r="E58" s="84" t="s">
        <v>72</v>
      </c>
      <c r="F58" s="84" t="s">
        <v>72</v>
      </c>
      <c r="G58" s="84" t="s">
        <v>72</v>
      </c>
      <c r="I58" t="s">
        <v>61</v>
      </c>
      <c r="J58" s="60" t="s">
        <v>88</v>
      </c>
    </row>
    <row r="59" spans="1:19" ht="99.9" hidden="1" customHeight="1" x14ac:dyDescent="0.3">
      <c r="A59" s="60" t="s">
        <v>87</v>
      </c>
      <c r="B59" s="85" t="s">
        <v>56</v>
      </c>
      <c r="C59" s="60" t="str">
        <f t="shared" si="0"/>
        <v>Fornecimento de Materiais e Equipamentos (aquisição direta)-BDI PAD</v>
      </c>
      <c r="E59" s="84" t="s">
        <v>72</v>
      </c>
      <c r="F59" s="84" t="s">
        <v>72</v>
      </c>
      <c r="G59" s="84" t="s">
        <v>72</v>
      </c>
      <c r="I59" t="s">
        <v>61</v>
      </c>
      <c r="J59" s="381"/>
      <c r="K59" s="381"/>
      <c r="L59" s="381"/>
      <c r="M59" s="381"/>
      <c r="N59" s="381"/>
      <c r="O59" s="381"/>
      <c r="P59" s="381"/>
      <c r="Q59" s="381"/>
      <c r="R59" s="381"/>
      <c r="S59" s="381"/>
    </row>
    <row r="60" spans="1:19" hidden="1" x14ac:dyDescent="0.3">
      <c r="A60" s="60" t="s">
        <v>89</v>
      </c>
      <c r="B60" s="83" t="s">
        <v>90</v>
      </c>
      <c r="C60" s="60" t="str">
        <f t="shared" si="0"/>
        <v>Estudos e Projetos, Planos e Gerenciamento e outros correlatos-K1</v>
      </c>
      <c r="E60" s="84" t="s">
        <v>72</v>
      </c>
      <c r="F60" s="84" t="s">
        <v>72</v>
      </c>
      <c r="G60" s="84" t="s">
        <v>72</v>
      </c>
      <c r="I60" t="s">
        <v>61</v>
      </c>
    </row>
    <row r="61" spans="1:19" hidden="1" x14ac:dyDescent="0.3">
      <c r="A61" s="60" t="str">
        <f>A60</f>
        <v>Estudos e Projetos, Planos e Gerenciamento e outros correlatos</v>
      </c>
      <c r="B61" s="83" t="s">
        <v>91</v>
      </c>
      <c r="C61" s="60" t="str">
        <f t="shared" si="0"/>
        <v>Estudos e Projetos, Planos e Gerenciamento e outros correlatos-K2</v>
      </c>
      <c r="E61" s="84" t="s">
        <v>72</v>
      </c>
      <c r="F61" s="84">
        <v>0.2</v>
      </c>
      <c r="G61" s="84" t="s">
        <v>72</v>
      </c>
      <c r="I61" t="s">
        <v>61</v>
      </c>
      <c r="J61" s="382">
        <f>Import.Município</f>
        <v>7.400000000000001E-2</v>
      </c>
      <c r="K61" s="382"/>
      <c r="L61" s="382"/>
      <c r="M61" s="382"/>
      <c r="P61" s="383">
        <f>[1]DADOS!$F$25</f>
        <v>43235</v>
      </c>
      <c r="Q61" s="383"/>
      <c r="R61" s="383"/>
      <c r="S61" s="383"/>
    </row>
    <row r="62" spans="1:19" hidden="1" x14ac:dyDescent="0.3">
      <c r="A62" s="60" t="str">
        <f>A61</f>
        <v>Estudos e Projetos, Planos e Gerenciamento e outros correlatos</v>
      </c>
      <c r="B62" s="83"/>
      <c r="C62" s="60" t="str">
        <f t="shared" si="0"/>
        <v>Estudos e Projetos, Planos e Gerenciamento e outros correlatos-</v>
      </c>
      <c r="E62" s="84" t="s">
        <v>72</v>
      </c>
      <c r="F62" s="84" t="s">
        <v>72</v>
      </c>
      <c r="G62" s="84" t="s">
        <v>72</v>
      </c>
      <c r="I62" t="s">
        <v>61</v>
      </c>
      <c r="J62" s="400" t="s">
        <v>92</v>
      </c>
      <c r="K62" s="400"/>
      <c r="L62" s="400"/>
      <c r="M62" s="400"/>
      <c r="O62" s="67"/>
      <c r="P62" s="93" t="s">
        <v>115</v>
      </c>
      <c r="Q62" s="94"/>
      <c r="R62" s="94"/>
      <c r="S62" s="94"/>
    </row>
    <row r="63" spans="1:19" ht="30" hidden="1" customHeight="1" x14ac:dyDescent="0.3">
      <c r="A63" s="60" t="str">
        <f>A62</f>
        <v>Estudos e Projetos, Planos e Gerenciamento e outros correlatos</v>
      </c>
      <c r="B63" s="83"/>
      <c r="C63" s="60" t="str">
        <f t="shared" si="0"/>
        <v>Estudos e Projetos, Planos e Gerenciamento e outros correlatos-</v>
      </c>
      <c r="E63" s="84" t="s">
        <v>72</v>
      </c>
      <c r="F63" s="84" t="s">
        <v>72</v>
      </c>
      <c r="G63" s="84" t="s">
        <v>72</v>
      </c>
      <c r="I63" t="s">
        <v>61</v>
      </c>
    </row>
    <row r="64" spans="1:19" hidden="1" x14ac:dyDescent="0.3">
      <c r="A64" s="60" t="str">
        <f>A63</f>
        <v>Estudos e Projetos, Planos e Gerenciamento e outros correlatos</v>
      </c>
      <c r="B64" s="83" t="s">
        <v>93</v>
      </c>
      <c r="C64" s="60" t="str">
        <f t="shared" si="0"/>
        <v>Estudos e Projetos, Planos e Gerenciamento e outros correlatos-K3</v>
      </c>
      <c r="E64" s="84" t="s">
        <v>72</v>
      </c>
      <c r="F64" s="84">
        <v>0.12</v>
      </c>
      <c r="G64" s="84" t="s">
        <v>72</v>
      </c>
      <c r="I64" t="s">
        <v>61</v>
      </c>
      <c r="J64" s="401"/>
      <c r="K64" s="401"/>
      <c r="L64" s="401"/>
      <c r="M64" s="401"/>
      <c r="N64" s="68"/>
    </row>
    <row r="65" spans="1:26" ht="12.75" hidden="1" customHeight="1" x14ac:dyDescent="0.3">
      <c r="A65" s="60" t="str">
        <f>A64</f>
        <v>Estudos e Projetos, Planos e Gerenciamento e outros correlatos</v>
      </c>
      <c r="B65" s="85" t="s">
        <v>56</v>
      </c>
      <c r="C65" s="60" t="str">
        <f t="shared" si="0"/>
        <v>Estudos e Projetos, Planos e Gerenciamento e outros correlatos-BDI PAD</v>
      </c>
      <c r="E65" s="84" t="s">
        <v>72</v>
      </c>
      <c r="F65" s="84" t="s">
        <v>72</v>
      </c>
      <c r="G65" s="84" t="s">
        <v>72</v>
      </c>
      <c r="I65" t="s">
        <v>61</v>
      </c>
      <c r="J65" s="398" t="s">
        <v>116</v>
      </c>
      <c r="K65" s="398"/>
      <c r="L65" s="398"/>
      <c r="M65" s="398"/>
    </row>
    <row r="66" spans="1:26" hidden="1" x14ac:dyDescent="0.3">
      <c r="B66" s="85"/>
      <c r="E66" s="84"/>
      <c r="F66" s="84"/>
      <c r="G66" s="84"/>
      <c r="I66" t="s">
        <v>61</v>
      </c>
      <c r="J66" s="69" t="s">
        <v>117</v>
      </c>
      <c r="K66" s="70">
        <f t="array" ref="K66:K68">Import.RespOrçamento</f>
        <v>0</v>
      </c>
      <c r="L66" s="71"/>
      <c r="M66" s="71"/>
      <c r="N66" s="68"/>
    </row>
    <row r="67" spans="1:26" hidden="1" x14ac:dyDescent="0.3">
      <c r="A67"/>
      <c r="B67"/>
      <c r="C67"/>
      <c r="D67"/>
      <c r="E67"/>
      <c r="F67"/>
      <c r="G67"/>
      <c r="I67" t="s">
        <v>61</v>
      </c>
      <c r="J67" s="69" t="s">
        <v>118</v>
      </c>
      <c r="K67" s="70">
        <v>0</v>
      </c>
      <c r="L67" s="71"/>
      <c r="M67" s="71"/>
      <c r="N67" s="68"/>
    </row>
    <row r="68" spans="1:26" hidden="1" x14ac:dyDescent="0.3">
      <c r="A68"/>
      <c r="B68"/>
      <c r="C68"/>
      <c r="D68"/>
      <c r="E68"/>
      <c r="F68"/>
      <c r="G68"/>
      <c r="I68" t="s">
        <v>61</v>
      </c>
      <c r="J68" s="69" t="s">
        <v>119</v>
      </c>
      <c r="K68" s="70">
        <v>0</v>
      </c>
      <c r="L68" s="71"/>
      <c r="M68" s="71"/>
      <c r="N68" s="68"/>
    </row>
    <row r="69" spans="1:26" hidden="1" x14ac:dyDescent="0.3">
      <c r="A69"/>
      <c r="B69"/>
      <c r="C69"/>
      <c r="D69"/>
      <c r="E69"/>
      <c r="F69"/>
      <c r="G69"/>
      <c r="I69" t="s">
        <v>61</v>
      </c>
      <c r="J69" s="69"/>
      <c r="K69" s="72"/>
      <c r="L69" s="71"/>
      <c r="M69" s="71"/>
      <c r="N69" s="68"/>
    </row>
    <row r="70" spans="1:26" ht="15.6" hidden="1" x14ac:dyDescent="0.3">
      <c r="A70"/>
      <c r="B70"/>
      <c r="C70"/>
      <c r="D70"/>
      <c r="E70"/>
      <c r="F70"/>
      <c r="G70"/>
      <c r="I70" t="str">
        <f ca="1">IF($S$85=0,"","F")</f>
        <v/>
      </c>
      <c r="J70" s="387" t="s">
        <v>120</v>
      </c>
      <c r="K70" s="387"/>
      <c r="L70" s="387"/>
      <c r="M70" s="387"/>
      <c r="N70" s="387"/>
      <c r="O70" s="387"/>
      <c r="P70" s="387"/>
      <c r="Q70" s="387"/>
      <c r="R70" s="387"/>
      <c r="S70" s="387"/>
    </row>
    <row r="71" spans="1:26" hidden="1" x14ac:dyDescent="0.3">
      <c r="A71"/>
      <c r="B71"/>
      <c r="C71"/>
      <c r="D71"/>
      <c r="E71"/>
      <c r="F71"/>
      <c r="G71"/>
      <c r="I71" t="str">
        <f t="shared" ref="I71:I109" ca="1" si="2">IF($S$85=0,"","F")</f>
        <v/>
      </c>
    </row>
    <row r="72" spans="1:26" hidden="1" x14ac:dyDescent="0.3">
      <c r="A72"/>
      <c r="B72"/>
      <c r="C72"/>
      <c r="D72"/>
      <c r="E72"/>
      <c r="F72"/>
      <c r="G72"/>
      <c r="I72" t="str">
        <f t="shared" ca="1" si="2"/>
        <v/>
      </c>
      <c r="J72" s="368" t="s">
        <v>63</v>
      </c>
      <c r="K72" s="368"/>
      <c r="L72" s="368"/>
      <c r="M72" s="368"/>
      <c r="N72" s="368"/>
      <c r="O72" s="368"/>
      <c r="P72" s="368"/>
      <c r="Q72" s="368"/>
      <c r="R72" s="368"/>
      <c r="S72" s="368"/>
    </row>
    <row r="73" spans="1:26" hidden="1" x14ac:dyDescent="0.3">
      <c r="A73"/>
      <c r="B73"/>
      <c r="C73"/>
      <c r="D73"/>
      <c r="E73"/>
      <c r="F73"/>
      <c r="G73"/>
      <c r="I73" t="str">
        <f t="shared" ca="1" si="2"/>
        <v/>
      </c>
      <c r="J73" s="389" t="s">
        <v>121</v>
      </c>
      <c r="K73" s="389"/>
      <c r="L73" s="389"/>
      <c r="M73" s="389"/>
      <c r="N73" s="389"/>
      <c r="O73" s="389"/>
      <c r="P73" s="389"/>
      <c r="Q73" s="389"/>
      <c r="R73" s="389"/>
      <c r="S73" s="389"/>
    </row>
    <row r="74" spans="1:26" hidden="1" x14ac:dyDescent="0.3">
      <c r="A74"/>
      <c r="B74"/>
      <c r="C74"/>
      <c r="D74"/>
      <c r="E74"/>
      <c r="F74"/>
      <c r="G74"/>
      <c r="I74" t="str">
        <f t="shared" ca="1" si="2"/>
        <v/>
      </c>
    </row>
    <row r="75" spans="1:26" ht="12.75" hidden="1" customHeight="1" x14ac:dyDescent="0.3">
      <c r="A75"/>
      <c r="B75"/>
      <c r="C75"/>
      <c r="D75"/>
      <c r="E75"/>
      <c r="F75"/>
      <c r="G75"/>
      <c r="I75" t="str">
        <f t="shared" ca="1" si="2"/>
        <v/>
      </c>
      <c r="J75" s="399" t="s">
        <v>64</v>
      </c>
      <c r="K75" s="399"/>
      <c r="L75" s="399"/>
      <c r="M75" s="399"/>
      <c r="N75" s="399"/>
      <c r="O75" s="399"/>
      <c r="P75" s="399"/>
      <c r="Q75" s="399"/>
      <c r="R75" s="399" t="s">
        <v>65</v>
      </c>
      <c r="S75" s="384" t="s">
        <v>66</v>
      </c>
      <c r="U75" s="384" t="s">
        <v>67</v>
      </c>
      <c r="V75" s="384"/>
      <c r="W75" s="384"/>
      <c r="X75" s="385" t="s">
        <v>68</v>
      </c>
      <c r="Y75" s="385" t="s">
        <v>69</v>
      </c>
      <c r="Z75" s="385" t="s">
        <v>70</v>
      </c>
    </row>
    <row r="76" spans="1:26" ht="12.75" hidden="1" customHeight="1" x14ac:dyDescent="0.3">
      <c r="A76"/>
      <c r="B76"/>
      <c r="C76"/>
      <c r="D76"/>
      <c r="E76"/>
      <c r="F76"/>
      <c r="G76"/>
      <c r="I76" t="str">
        <f t="shared" ca="1" si="2"/>
        <v/>
      </c>
      <c r="J76" s="399"/>
      <c r="K76" s="399"/>
      <c r="L76" s="399"/>
      <c r="M76" s="399"/>
      <c r="N76" s="399"/>
      <c r="O76" s="399"/>
      <c r="P76" s="399"/>
      <c r="Q76" s="399"/>
      <c r="R76" s="399"/>
      <c r="S76" s="384"/>
      <c r="U76" s="384"/>
      <c r="V76" s="384"/>
      <c r="W76" s="384"/>
      <c r="X76" s="385"/>
      <c r="Y76" s="385"/>
      <c r="Z76" s="385"/>
    </row>
    <row r="77" spans="1:26" ht="15" hidden="1" customHeight="1" x14ac:dyDescent="0.3">
      <c r="A77"/>
      <c r="B77"/>
      <c r="C77"/>
      <c r="D77"/>
      <c r="E77"/>
      <c r="F77"/>
      <c r="G77"/>
      <c r="I77" t="str">
        <f t="shared" ca="1" si="2"/>
        <v/>
      </c>
      <c r="J77" s="378" t="str">
        <f>IF($J$33=$A$184,"Encargos Sociais incidentes sobre a mão de obra","Administração Central")</f>
        <v>Administração Central</v>
      </c>
      <c r="K77" s="378"/>
      <c r="L77" s="378"/>
      <c r="M77" s="378"/>
      <c r="N77" s="378"/>
      <c r="O77" s="378"/>
      <c r="P77" s="378"/>
      <c r="Q77" s="378"/>
      <c r="R77" s="86" t="str">
        <f>IF($J73=$A$184,"K1","AC")</f>
        <v>AC</v>
      </c>
      <c r="S77" s="87"/>
      <c r="U77" s="386" t="s">
        <v>72</v>
      </c>
      <c r="V77" s="386"/>
      <c r="W77" s="386"/>
      <c r="X77" s="88" t="e">
        <f>VLOOKUP(CONCATENATE(J73,"-",R77),$C$2:$G$152,3,FALSE)</f>
        <v>#N/A</v>
      </c>
      <c r="Y77" s="88" t="e">
        <f>VLOOKUP(CONCATENATE(J73,"-",R77),$C$2:$G$152,4,FALSE)</f>
        <v>#N/A</v>
      </c>
      <c r="Z77" s="88" t="e">
        <f>VLOOKUP(CONCATENATE(J73,"-",R77),$C$2:$G$152,5,FALSE)</f>
        <v>#N/A</v>
      </c>
    </row>
    <row r="78" spans="1:26" ht="15" hidden="1" customHeight="1" x14ac:dyDescent="0.3">
      <c r="A78"/>
      <c r="B78"/>
      <c r="C78"/>
      <c r="D78"/>
      <c r="E78"/>
      <c r="F78"/>
      <c r="G78"/>
      <c r="I78" t="str">
        <f t="shared" ca="1" si="2"/>
        <v/>
      </c>
      <c r="J78" s="378" t="str">
        <f>IF($J$33=$A$184,"Administração Central da empresa ou consultoria - overhead","Seguro e Garantia")</f>
        <v>Seguro e Garantia</v>
      </c>
      <c r="K78" s="378"/>
      <c r="L78" s="378"/>
      <c r="M78" s="378"/>
      <c r="N78" s="378"/>
      <c r="O78" s="378"/>
      <c r="P78" s="378"/>
      <c r="Q78" s="378"/>
      <c r="R78" s="86" t="str">
        <f>IF($J73=$A$184,"K2","SG")</f>
        <v>SG</v>
      </c>
      <c r="S78" s="87"/>
      <c r="U78" s="386" t="s">
        <v>72</v>
      </c>
      <c r="V78" s="386"/>
      <c r="W78" s="386"/>
      <c r="X78" s="88" t="e">
        <f>VLOOKUP(CONCATENATE(J73,"-",R78),$C$2:$G$152,3,FALSE)</f>
        <v>#N/A</v>
      </c>
      <c r="Y78" s="88" t="e">
        <f>VLOOKUP(CONCATENATE(J73,"-",R78),$C$2:$G$152,4,FALSE)</f>
        <v>#N/A</v>
      </c>
      <c r="Z78" s="88" t="e">
        <f>VLOOKUP(CONCATENATE(J73,"-",R78),$C$2:$G$152,5,FALSE)</f>
        <v>#N/A</v>
      </c>
    </row>
    <row r="79" spans="1:26" ht="15" hidden="1" customHeight="1" x14ac:dyDescent="0.3">
      <c r="A79"/>
      <c r="B79"/>
      <c r="C79"/>
      <c r="D79"/>
      <c r="E79"/>
      <c r="F79"/>
      <c r="G79"/>
      <c r="I79" t="str">
        <f t="shared" ca="1" si="2"/>
        <v/>
      </c>
      <c r="J79" s="378" t="str">
        <f>IF($J$33=$A$184,"","Risco")</f>
        <v>Risco</v>
      </c>
      <c r="K79" s="378"/>
      <c r="L79" s="378"/>
      <c r="M79" s="378"/>
      <c r="N79" s="378"/>
      <c r="O79" s="378"/>
      <c r="P79" s="378"/>
      <c r="Q79" s="378"/>
      <c r="R79" s="86" t="str">
        <f>IF($J73=$A$184,"","R")</f>
        <v>R</v>
      </c>
      <c r="S79" s="87"/>
      <c r="U79" s="386" t="s">
        <v>72</v>
      </c>
      <c r="V79" s="386"/>
      <c r="W79" s="386"/>
      <c r="X79" s="88" t="e">
        <f>VLOOKUP(CONCATENATE(J73,"-",R79),$C$2:$G$152,3,FALSE)</f>
        <v>#N/A</v>
      </c>
      <c r="Y79" s="88" t="e">
        <f>VLOOKUP(CONCATENATE(J73,"-",R79),$C$2:$G$152,4,FALSE)</f>
        <v>#N/A</v>
      </c>
      <c r="Z79" s="88" t="e">
        <f>VLOOKUP(CONCATENATE(J73,"-",R79),$C$2:$G$152,5,FALSE)</f>
        <v>#N/A</v>
      </c>
    </row>
    <row r="80" spans="1:26" ht="15" hidden="1" customHeight="1" x14ac:dyDescent="0.3">
      <c r="A80"/>
      <c r="B80"/>
      <c r="C80"/>
      <c r="D80"/>
      <c r="E80"/>
      <c r="F80"/>
      <c r="G80"/>
      <c r="I80" t="str">
        <f t="shared" ca="1" si="2"/>
        <v/>
      </c>
      <c r="J80" s="378" t="str">
        <f>IF($J$33=$A$184,"","Despesas Financeiras")</f>
        <v>Despesas Financeiras</v>
      </c>
      <c r="K80" s="378"/>
      <c r="L80" s="378"/>
      <c r="M80" s="378"/>
      <c r="N80" s="378"/>
      <c r="O80" s="378"/>
      <c r="P80" s="378"/>
      <c r="Q80" s="378"/>
      <c r="R80" s="86" t="str">
        <f>IF($J73=$A$184,"","DF")</f>
        <v>DF</v>
      </c>
      <c r="S80" s="87"/>
      <c r="U80" s="386" t="s">
        <v>72</v>
      </c>
      <c r="V80" s="386"/>
      <c r="W80" s="386"/>
      <c r="X80" s="88" t="e">
        <f>VLOOKUP(CONCATENATE(J73,"-",R80),$C$2:$G$152,3,FALSE)</f>
        <v>#N/A</v>
      </c>
      <c r="Y80" s="88" t="e">
        <f>VLOOKUP(CONCATENATE(J73,"-",R80),$C$2:$G$152,4,FALSE)</f>
        <v>#N/A</v>
      </c>
      <c r="Z80" s="88" t="e">
        <f>VLOOKUP(CONCATENATE(J73,"-",R80),$C$2:$G$152,5,FALSE)</f>
        <v>#N/A</v>
      </c>
    </row>
    <row r="81" spans="1:26" ht="15" hidden="1" customHeight="1" x14ac:dyDescent="0.3">
      <c r="A81"/>
      <c r="B81"/>
      <c r="C81"/>
      <c r="D81"/>
      <c r="E81"/>
      <c r="F81"/>
      <c r="G81"/>
      <c r="I81" t="str">
        <f t="shared" ca="1" si="2"/>
        <v/>
      </c>
      <c r="J81" s="378" t="str">
        <f>IF($J$33=$A$184,"Margem bruta da empresa de consultoria","Lucro")</f>
        <v>Lucro</v>
      </c>
      <c r="K81" s="378"/>
      <c r="L81" s="378"/>
      <c r="M81" s="378"/>
      <c r="N81" s="378"/>
      <c r="O81" s="378"/>
      <c r="P81" s="378"/>
      <c r="Q81" s="378"/>
      <c r="R81" s="86" t="str">
        <f>IF($J73=$A$184,"K3","L")</f>
        <v>L</v>
      </c>
      <c r="S81" s="87"/>
      <c r="U81" s="386" t="s">
        <v>72</v>
      </c>
      <c r="V81" s="386"/>
      <c r="W81" s="386"/>
      <c r="X81" s="88" t="e">
        <f>VLOOKUP(CONCATENATE(J73,"-",R81),$C$2:$G$152,3,FALSE)</f>
        <v>#N/A</v>
      </c>
      <c r="Y81" s="88" t="e">
        <f>VLOOKUP(CONCATENATE(J73,"-",R81),$C$2:$G$152,4,FALSE)</f>
        <v>#N/A</v>
      </c>
      <c r="Z81" s="88" t="e">
        <f>VLOOKUP(CONCATENATE(J73,"-",R81),$C$2:$G$152,5,FALSE)</f>
        <v>#N/A</v>
      </c>
    </row>
    <row r="82" spans="1:26" ht="15" hidden="1" customHeight="1" x14ac:dyDescent="0.3">
      <c r="A82"/>
      <c r="B82"/>
      <c r="C82"/>
      <c r="D82"/>
      <c r="E82"/>
      <c r="F82"/>
      <c r="G82"/>
      <c r="I82" t="str">
        <f t="shared" ca="1" si="2"/>
        <v/>
      </c>
      <c r="J82" s="378" t="s">
        <v>74</v>
      </c>
      <c r="K82" s="378"/>
      <c r="L82" s="378"/>
      <c r="M82" s="378"/>
      <c r="N82" s="378"/>
      <c r="O82" s="378"/>
      <c r="P82" s="378"/>
      <c r="Q82" s="378"/>
      <c r="R82" s="86" t="s">
        <v>75</v>
      </c>
      <c r="S82" s="87"/>
      <c r="U82" s="386" t="s">
        <v>72</v>
      </c>
      <c r="V82" s="386"/>
      <c r="W82" s="386"/>
      <c r="X82" s="88">
        <v>3.6499999999999998E-2</v>
      </c>
      <c r="Y82" s="88">
        <v>3.6499999999999998E-2</v>
      </c>
      <c r="Z82" s="88">
        <v>3.6499999999999998E-2</v>
      </c>
    </row>
    <row r="83" spans="1:26" ht="15" hidden="1" customHeight="1" x14ac:dyDescent="0.3">
      <c r="A83"/>
      <c r="B83"/>
      <c r="C83"/>
      <c r="D83"/>
      <c r="E83"/>
      <c r="F83"/>
      <c r="G83"/>
      <c r="I83" t="str">
        <f t="shared" ca="1" si="2"/>
        <v/>
      </c>
      <c r="J83" s="378" t="s">
        <v>76</v>
      </c>
      <c r="K83" s="378"/>
      <c r="L83" s="378"/>
      <c r="M83" s="378"/>
      <c r="N83" s="378"/>
      <c r="O83" s="378"/>
      <c r="P83" s="378"/>
      <c r="Q83" s="378"/>
      <c r="R83" s="86" t="s">
        <v>77</v>
      </c>
      <c r="S83" s="88">
        <f ca="1">IF(AND($J73&lt;&gt;$A$181,COUNTA(OFFSET(S76,1,0,6))&gt;0),$R$27*$R$26,0)</f>
        <v>0</v>
      </c>
      <c r="U83" s="386" t="s">
        <v>72</v>
      </c>
      <c r="V83" s="386"/>
      <c r="W83" s="386"/>
      <c r="X83" s="88">
        <v>0</v>
      </c>
      <c r="Y83" s="88">
        <v>2.5000000000000001E-2</v>
      </c>
      <c r="Z83" s="88">
        <v>0.05</v>
      </c>
    </row>
    <row r="84" spans="1:26" ht="15" hidden="1" customHeight="1" x14ac:dyDescent="0.3">
      <c r="A84"/>
      <c r="B84"/>
      <c r="C84"/>
      <c r="D84"/>
      <c r="E84"/>
      <c r="F84"/>
      <c r="G84"/>
      <c r="I84" t="str">
        <f t="shared" ca="1" si="2"/>
        <v/>
      </c>
      <c r="J84" s="378" t="s">
        <v>78</v>
      </c>
      <c r="K84" s="378"/>
      <c r="L84" s="378"/>
      <c r="M84" s="378"/>
      <c r="N84" s="378"/>
      <c r="O84" s="378"/>
      <c r="P84" s="378"/>
      <c r="Q84" s="378"/>
      <c r="R84" s="86" t="s">
        <v>79</v>
      </c>
      <c r="S84" s="88">
        <f ca="1">IF(BDI.Opcao&lt;&gt;"Desonerado",0,IF(AND($J73&lt;&gt;$A$181,COUNTA(OFFSET(S76,1,0,6))&gt;0),4.5%,0%))</f>
        <v>0</v>
      </c>
      <c r="U84" s="386" t="s">
        <v>72</v>
      </c>
      <c r="V84" s="386"/>
      <c r="W84" s="386"/>
      <c r="X84" s="89">
        <v>0</v>
      </c>
      <c r="Y84" s="89">
        <v>4.4999999999999998E-2</v>
      </c>
      <c r="Z84" s="89">
        <v>4.4999999999999998E-2</v>
      </c>
    </row>
    <row r="85" spans="1:26" ht="15" hidden="1" customHeight="1" x14ac:dyDescent="0.3">
      <c r="A85"/>
      <c r="B85"/>
      <c r="C85"/>
      <c r="D85"/>
      <c r="E85"/>
      <c r="F85"/>
      <c r="G85"/>
      <c r="I85" t="str">
        <f t="shared" ca="1" si="2"/>
        <v/>
      </c>
      <c r="J85" s="378" t="s">
        <v>80</v>
      </c>
      <c r="K85" s="378"/>
      <c r="L85" s="378"/>
      <c r="M85" s="378"/>
      <c r="N85" s="378"/>
      <c r="O85" s="378"/>
      <c r="P85" s="378"/>
      <c r="Q85" s="378"/>
      <c r="R85" s="90" t="s">
        <v>56</v>
      </c>
      <c r="S85" s="88">
        <f ca="1">IF($J73=$A$181,0,ROUND((((1+S77+S78+S79)*(1+S80)*(1+S81)/(1-(S82+S83)))-1),4))</f>
        <v>0</v>
      </c>
      <c r="U85" s="384" t="e">
        <f ca="1">IF(OR($J$33=$A$184,$J$33=$A$181,AND(S85&gt;=X85,S85&lt;=Z85)),"OK","FORA DO INTERVALO")</f>
        <v>#N/A</v>
      </c>
      <c r="V85" s="384"/>
      <c r="W85" s="384"/>
      <c r="X85" s="88" t="e">
        <f>IF($J73=$A$181,0,VLOOKUP(CONCATENATE($J73,"-",$R85),$C$2:$G$152,3,FALSE))</f>
        <v>#N/A</v>
      </c>
      <c r="Y85" s="88" t="e">
        <f>IF($J73=$A$181,0,VLOOKUP(CONCATENATE($J73,"-",$R85),$C$2:$G$152,4,FALSE))</f>
        <v>#N/A</v>
      </c>
      <c r="Z85" s="88" t="e">
        <f>IF($J73=$A$181,0,VLOOKUP(CONCATENATE($J73,"-",$R85),$C$2:$G$152,5,FALSE))</f>
        <v>#N/A</v>
      </c>
    </row>
    <row r="86" spans="1:26" ht="15" hidden="1" customHeight="1" x14ac:dyDescent="0.3">
      <c r="A86"/>
      <c r="B86"/>
      <c r="C86"/>
      <c r="D86"/>
      <c r="E86"/>
      <c r="F86"/>
      <c r="G86"/>
      <c r="I86" t="str">
        <f t="shared" ca="1" si="2"/>
        <v/>
      </c>
      <c r="J86" s="396" t="s">
        <v>81</v>
      </c>
      <c r="K86" s="396"/>
      <c r="L86" s="396"/>
      <c r="M86" s="396"/>
      <c r="N86" s="396"/>
      <c r="O86" s="396"/>
      <c r="P86" s="396"/>
      <c r="Q86" s="396"/>
      <c r="R86" s="91" t="s">
        <v>82</v>
      </c>
      <c r="S86" s="92">
        <f ca="1">IF($J73=$A$181,0,ROUND((((1+S77+S78+S79)*(1+S80)*(1+S81)/(1-(S82+S83+S84)))-1),4))</f>
        <v>0</v>
      </c>
    </row>
    <row r="87" spans="1:26" ht="25.5" hidden="1" customHeight="1" x14ac:dyDescent="0.3">
      <c r="A87"/>
      <c r="B87"/>
      <c r="C87"/>
      <c r="D87"/>
      <c r="E87"/>
      <c r="F87"/>
      <c r="G87"/>
      <c r="I87" t="str">
        <f t="shared" ca="1" si="2"/>
        <v/>
      </c>
    </row>
    <row r="88" spans="1:26" ht="15.6" hidden="1" x14ac:dyDescent="0.3">
      <c r="A88"/>
      <c r="B88"/>
      <c r="C88"/>
      <c r="D88"/>
      <c r="E88"/>
      <c r="F88"/>
      <c r="G88"/>
      <c r="I88" t="str">
        <f t="shared" ca="1" si="2"/>
        <v/>
      </c>
      <c r="J88" s="64" t="e">
        <f ca="1">IF(U85&lt;&gt;"ok","X","")</f>
        <v>#N/A</v>
      </c>
      <c r="K88" s="397" t="e">
        <f ca="1">IF(U85&lt;&gt;"ok","Anexo: Relatório Técnico Circunstanciado justificando a adoção do percentual de cada parcela do BDI.","")</f>
        <v>#N/A</v>
      </c>
      <c r="L88" s="397"/>
      <c r="M88" s="397"/>
      <c r="N88" s="397"/>
      <c r="O88" s="397"/>
      <c r="P88" s="397"/>
      <c r="Q88" s="397"/>
      <c r="R88" s="397"/>
      <c r="S88" s="397"/>
    </row>
    <row r="89" spans="1:26" hidden="1" x14ac:dyDescent="0.3">
      <c r="A89"/>
      <c r="B89"/>
      <c r="C89"/>
      <c r="D89"/>
      <c r="E89"/>
      <c r="F89"/>
      <c r="G89"/>
      <c r="I89" t="str">
        <f t="shared" ca="1" si="2"/>
        <v/>
      </c>
    </row>
    <row r="90" spans="1:26" hidden="1" x14ac:dyDescent="0.3">
      <c r="A90"/>
      <c r="B90"/>
      <c r="C90"/>
      <c r="D90"/>
      <c r="E90"/>
      <c r="F90"/>
      <c r="G90"/>
      <c r="I90" t="str">
        <f t="shared" ca="1" si="2"/>
        <v/>
      </c>
      <c r="J90" s="345" t="s">
        <v>84</v>
      </c>
      <c r="K90" s="345"/>
      <c r="L90" s="345"/>
      <c r="M90" s="345"/>
      <c r="N90" s="345"/>
      <c r="O90" s="345"/>
      <c r="P90" s="345"/>
      <c r="Q90" s="345"/>
      <c r="R90" s="345"/>
      <c r="S90" s="345"/>
    </row>
    <row r="91" spans="1:26" ht="15.6" hidden="1" x14ac:dyDescent="0.3">
      <c r="A91"/>
      <c r="B91"/>
      <c r="C91"/>
      <c r="D91"/>
      <c r="E91"/>
      <c r="F91"/>
      <c r="G91"/>
      <c r="I91" t="str">
        <f t="shared" ca="1" si="2"/>
        <v/>
      </c>
      <c r="J91" s="65"/>
      <c r="K91" s="65"/>
      <c r="L91" s="65"/>
      <c r="M91" s="392" t="s">
        <v>85</v>
      </c>
      <c r="N91" s="393" t="str">
        <f>IF($J73=$A$184,"(1+K1+K2)*(1+K3)","(1+AC + S + R + G)*(1 + DF)*(1+L)")</f>
        <v>(1+AC + S + R + G)*(1 + DF)*(1+L)</v>
      </c>
      <c r="O91" s="393"/>
      <c r="P91" s="393"/>
      <c r="Q91" s="394" t="s">
        <v>86</v>
      </c>
      <c r="R91" s="65"/>
      <c r="S91" s="65"/>
    </row>
    <row r="92" spans="1:26" ht="15.6" hidden="1" x14ac:dyDescent="0.3">
      <c r="A92"/>
      <c r="B92"/>
      <c r="C92"/>
      <c r="D92"/>
      <c r="E92"/>
      <c r="F92"/>
      <c r="G92"/>
      <c r="I92" t="str">
        <f t="shared" ca="1" si="2"/>
        <v/>
      </c>
      <c r="J92" s="65"/>
      <c r="K92" s="65"/>
      <c r="L92" s="65"/>
      <c r="M92" s="392"/>
      <c r="N92" s="395" t="s">
        <v>114</v>
      </c>
      <c r="O92" s="395"/>
      <c r="P92" s="395"/>
      <c r="Q92" s="394"/>
      <c r="R92" s="65"/>
      <c r="S92" s="65"/>
    </row>
    <row r="93" spans="1:26" ht="15" hidden="1" customHeight="1" x14ac:dyDescent="0.3">
      <c r="A93"/>
      <c r="B93"/>
      <c r="C93"/>
      <c r="D93"/>
      <c r="E93"/>
      <c r="F93"/>
      <c r="G93"/>
      <c r="I93" t="str">
        <f t="shared" ca="1" si="2"/>
        <v/>
      </c>
      <c r="J93" s="65"/>
      <c r="K93" s="65"/>
      <c r="L93" s="65"/>
      <c r="M93" s="73"/>
      <c r="N93" s="74"/>
      <c r="O93" s="74"/>
      <c r="P93" s="74"/>
      <c r="Q93" s="75"/>
      <c r="R93" s="65"/>
      <c r="S93" s="65"/>
    </row>
    <row r="94" spans="1:26" ht="50.1" hidden="1" customHeight="1" x14ac:dyDescent="0.3">
      <c r="A94"/>
      <c r="B94"/>
      <c r="C94"/>
      <c r="D94"/>
      <c r="E94"/>
      <c r="F94"/>
      <c r="G94"/>
      <c r="I94" t="str">
        <f t="shared" ca="1" si="2"/>
        <v/>
      </c>
      <c r="J94" s="380" t="str">
        <f>CONCATENATE("Declaro para os devidos fins que, conforme legislação tributária municipal, a base de cálculo deste tipo de obra corresponde à ",$R$26*100,"%, com a respectiva alíquota de ",$R$27*100,"%.")</f>
        <v>Declaro para os devidos fins que, conforme legislação tributária municipal, a base de cálculo deste tipo de obra corresponde à 50%, com a respectiva alíquota de 5%.</v>
      </c>
      <c r="K94" s="380"/>
      <c r="L94" s="380"/>
      <c r="M94" s="380"/>
      <c r="N94" s="380"/>
      <c r="O94" s="380"/>
      <c r="P94" s="380"/>
      <c r="Q94" s="380"/>
      <c r="R94" s="380"/>
      <c r="S94" s="380"/>
    </row>
    <row r="95" spans="1:26" hidden="1" x14ac:dyDescent="0.3">
      <c r="A95"/>
      <c r="B95"/>
      <c r="C95"/>
      <c r="D95"/>
      <c r="E95"/>
      <c r="F95"/>
      <c r="G95"/>
      <c r="I95" t="str">
        <f t="shared" ca="1" si="2"/>
        <v/>
      </c>
    </row>
    <row r="96" spans="1:26" ht="50.1" hidden="1" customHeight="1" x14ac:dyDescent="0.3">
      <c r="A96"/>
      <c r="B96"/>
      <c r="C96"/>
      <c r="D96"/>
      <c r="E96"/>
      <c r="F96"/>
      <c r="G96"/>
      <c r="I96" t="str">
        <f t="shared" ca="1" si="2"/>
        <v/>
      </c>
      <c r="J96" s="380"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96" s="380"/>
      <c r="L96" s="380"/>
      <c r="M96" s="380"/>
      <c r="N96" s="380"/>
      <c r="O96" s="380"/>
      <c r="P96" s="380"/>
      <c r="Q96" s="380"/>
      <c r="R96" s="380"/>
      <c r="S96" s="380"/>
    </row>
    <row r="97" spans="1:19" hidden="1" x14ac:dyDescent="0.3">
      <c r="A97"/>
      <c r="B97"/>
      <c r="C97"/>
      <c r="D97"/>
      <c r="E97"/>
      <c r="F97"/>
      <c r="G97"/>
      <c r="I97" t="str">
        <f t="shared" ca="1" si="2"/>
        <v/>
      </c>
    </row>
    <row r="98" spans="1:19" hidden="1" x14ac:dyDescent="0.3">
      <c r="A98"/>
      <c r="B98"/>
      <c r="C98"/>
      <c r="D98"/>
      <c r="E98"/>
      <c r="F98"/>
      <c r="G98"/>
      <c r="I98" t="str">
        <f t="shared" ca="1" si="2"/>
        <v/>
      </c>
      <c r="J98" s="60" t="s">
        <v>88</v>
      </c>
    </row>
    <row r="99" spans="1:19" ht="99.9" hidden="1" customHeight="1" x14ac:dyDescent="0.3">
      <c r="A99"/>
      <c r="B99"/>
      <c r="C99"/>
      <c r="D99"/>
      <c r="E99"/>
      <c r="F99"/>
      <c r="G99"/>
      <c r="I99" t="str">
        <f t="shared" ca="1" si="2"/>
        <v/>
      </c>
      <c r="J99" s="381"/>
      <c r="K99" s="381"/>
      <c r="L99" s="381"/>
      <c r="M99" s="381"/>
      <c r="N99" s="381"/>
      <c r="O99" s="381"/>
      <c r="P99" s="381"/>
      <c r="Q99" s="381"/>
      <c r="R99" s="381"/>
      <c r="S99" s="381"/>
    </row>
    <row r="100" spans="1:19" hidden="1" x14ac:dyDescent="0.3">
      <c r="A100"/>
      <c r="B100"/>
      <c r="C100"/>
      <c r="D100"/>
      <c r="E100"/>
      <c r="F100"/>
      <c r="G100"/>
      <c r="I100" t="str">
        <f t="shared" ca="1" si="2"/>
        <v/>
      </c>
    </row>
    <row r="101" spans="1:19" hidden="1" x14ac:dyDescent="0.3">
      <c r="A101"/>
      <c r="B101"/>
      <c r="C101"/>
      <c r="D101"/>
      <c r="E101"/>
      <c r="F101"/>
      <c r="G101"/>
      <c r="I101" t="str">
        <f t="shared" ca="1" si="2"/>
        <v/>
      </c>
      <c r="J101" s="382">
        <f>Import.Município</f>
        <v>7.400000000000001E-2</v>
      </c>
      <c r="K101" s="382"/>
      <c r="L101" s="382"/>
      <c r="M101" s="382"/>
      <c r="P101" s="383">
        <f>[1]DADOS!$F$25</f>
        <v>43235</v>
      </c>
      <c r="Q101" s="383"/>
      <c r="R101" s="383"/>
      <c r="S101" s="383"/>
    </row>
    <row r="102" spans="1:19" hidden="1" x14ac:dyDescent="0.3">
      <c r="A102"/>
      <c r="B102"/>
      <c r="C102"/>
      <c r="D102"/>
      <c r="E102"/>
      <c r="F102"/>
      <c r="G102"/>
      <c r="I102" t="str">
        <f t="shared" ca="1" si="2"/>
        <v/>
      </c>
      <c r="J102" s="400" t="s">
        <v>92</v>
      </c>
      <c r="K102" s="400"/>
      <c r="L102" s="400"/>
      <c r="M102" s="400"/>
      <c r="O102" s="67"/>
      <c r="P102" s="93" t="s">
        <v>115</v>
      </c>
      <c r="Q102" s="94"/>
      <c r="R102" s="94"/>
      <c r="S102" s="94"/>
    </row>
    <row r="103" spans="1:19" ht="30" hidden="1" customHeight="1" x14ac:dyDescent="0.3">
      <c r="A103"/>
      <c r="B103"/>
      <c r="C103"/>
      <c r="D103"/>
      <c r="E103"/>
      <c r="F103"/>
      <c r="G103"/>
      <c r="I103" t="str">
        <f t="shared" ca="1" si="2"/>
        <v/>
      </c>
    </row>
    <row r="104" spans="1:19" hidden="1" x14ac:dyDescent="0.3">
      <c r="A104"/>
      <c r="B104"/>
      <c r="C104"/>
      <c r="D104"/>
      <c r="E104"/>
      <c r="F104"/>
      <c r="G104"/>
      <c r="I104" t="str">
        <f t="shared" ca="1" si="2"/>
        <v/>
      </c>
      <c r="J104" s="401"/>
      <c r="K104" s="401"/>
      <c r="L104" s="401"/>
      <c r="M104" s="401"/>
      <c r="N104" s="68"/>
    </row>
    <row r="105" spans="1:19" hidden="1" x14ac:dyDescent="0.3">
      <c r="A105"/>
      <c r="B105"/>
      <c r="C105"/>
      <c r="D105"/>
      <c r="E105"/>
      <c r="F105"/>
      <c r="G105"/>
      <c r="I105" t="str">
        <f t="shared" ca="1" si="2"/>
        <v/>
      </c>
      <c r="J105" s="398" t="s">
        <v>116</v>
      </c>
      <c r="K105" s="398"/>
      <c r="L105" s="398"/>
      <c r="M105" s="398"/>
    </row>
    <row r="106" spans="1:19" hidden="1" x14ac:dyDescent="0.3">
      <c r="A106"/>
      <c r="B106"/>
      <c r="C106"/>
      <c r="D106"/>
      <c r="E106"/>
      <c r="F106"/>
      <c r="G106"/>
      <c r="I106" t="str">
        <f t="shared" ca="1" si="2"/>
        <v/>
      </c>
      <c r="J106" s="69" t="s">
        <v>117</v>
      </c>
      <c r="K106" s="70">
        <f t="array" ref="K106:K108">Import.RespOrçamento</f>
        <v>0</v>
      </c>
      <c r="L106" s="71"/>
      <c r="M106" s="71"/>
      <c r="N106" s="68"/>
    </row>
    <row r="107" spans="1:19" hidden="1" x14ac:dyDescent="0.3">
      <c r="A107"/>
      <c r="B107"/>
      <c r="C107"/>
      <c r="D107"/>
      <c r="E107"/>
      <c r="F107"/>
      <c r="G107"/>
      <c r="I107" t="str">
        <f t="shared" ca="1" si="2"/>
        <v/>
      </c>
      <c r="J107" s="69" t="s">
        <v>118</v>
      </c>
      <c r="K107" s="70">
        <v>0</v>
      </c>
      <c r="L107" s="71"/>
      <c r="M107" s="71"/>
      <c r="N107" s="68"/>
    </row>
    <row r="108" spans="1:19" hidden="1" x14ac:dyDescent="0.3">
      <c r="A108"/>
      <c r="B108"/>
      <c r="C108"/>
      <c r="D108"/>
      <c r="E108"/>
      <c r="F108"/>
      <c r="G108"/>
      <c r="I108" t="str">
        <f t="shared" ca="1" si="2"/>
        <v/>
      </c>
      <c r="J108" s="69" t="s">
        <v>119</v>
      </c>
      <c r="K108" s="70">
        <v>0</v>
      </c>
      <c r="L108" s="71"/>
      <c r="M108" s="71"/>
      <c r="N108" s="68"/>
    </row>
    <row r="109" spans="1:19" hidden="1" x14ac:dyDescent="0.3">
      <c r="A109"/>
      <c r="B109"/>
      <c r="C109"/>
      <c r="D109"/>
      <c r="E109"/>
      <c r="F109"/>
      <c r="G109"/>
      <c r="I109" t="str">
        <f t="shared" ca="1" si="2"/>
        <v/>
      </c>
      <c r="J109" s="69"/>
      <c r="K109" s="72"/>
      <c r="L109" s="71"/>
      <c r="M109" s="71"/>
      <c r="N109" s="68"/>
    </row>
    <row r="110" spans="1:19" ht="15.6" hidden="1" x14ac:dyDescent="0.3">
      <c r="A110"/>
      <c r="B110"/>
      <c r="C110"/>
      <c r="D110"/>
      <c r="E110"/>
      <c r="F110"/>
      <c r="G110"/>
      <c r="I110" t="str">
        <f ca="1">IF($S$125=0,"","F")</f>
        <v/>
      </c>
      <c r="J110" s="387" t="s">
        <v>122</v>
      </c>
      <c r="K110" s="387"/>
      <c r="L110" s="387"/>
      <c r="M110" s="387"/>
      <c r="N110" s="387"/>
      <c r="O110" s="387"/>
      <c r="P110" s="387"/>
      <c r="Q110" s="387"/>
      <c r="R110" s="387"/>
      <c r="S110" s="387"/>
    </row>
    <row r="111" spans="1:19" hidden="1" x14ac:dyDescent="0.3">
      <c r="A111"/>
      <c r="B111"/>
      <c r="C111"/>
      <c r="D111"/>
      <c r="E111"/>
      <c r="F111"/>
      <c r="G111"/>
      <c r="I111" t="str">
        <f t="shared" ref="I111:I148" ca="1" si="3">IF($S$125=0,"","F")</f>
        <v/>
      </c>
    </row>
    <row r="112" spans="1:19" hidden="1" x14ac:dyDescent="0.3">
      <c r="A112"/>
      <c r="B112"/>
      <c r="C112"/>
      <c r="D112"/>
      <c r="E112"/>
      <c r="F112"/>
      <c r="G112"/>
      <c r="I112" t="str">
        <f t="shared" ca="1" si="3"/>
        <v/>
      </c>
      <c r="J112" s="368" t="s">
        <v>63</v>
      </c>
      <c r="K112" s="368"/>
      <c r="L112" s="368"/>
      <c r="M112" s="368"/>
      <c r="N112" s="368"/>
      <c r="O112" s="368"/>
      <c r="P112" s="368"/>
      <c r="Q112" s="368"/>
      <c r="R112" s="368"/>
      <c r="S112" s="368"/>
    </row>
    <row r="113" spans="1:26" hidden="1" x14ac:dyDescent="0.3">
      <c r="A113"/>
      <c r="B113"/>
      <c r="C113"/>
      <c r="D113"/>
      <c r="E113"/>
      <c r="F113"/>
      <c r="G113"/>
      <c r="I113" t="str">
        <f t="shared" ca="1" si="3"/>
        <v/>
      </c>
      <c r="J113" s="389" t="s">
        <v>121</v>
      </c>
      <c r="K113" s="389"/>
      <c r="L113" s="389"/>
      <c r="M113" s="389"/>
      <c r="N113" s="389"/>
      <c r="O113" s="389"/>
      <c r="P113" s="389"/>
      <c r="Q113" s="389"/>
      <c r="R113" s="389"/>
      <c r="S113" s="389"/>
    </row>
    <row r="114" spans="1:26" hidden="1" x14ac:dyDescent="0.3">
      <c r="A114"/>
      <c r="B114"/>
      <c r="C114"/>
      <c r="D114"/>
      <c r="E114"/>
      <c r="F114"/>
      <c r="G114"/>
      <c r="I114" t="str">
        <f t="shared" ca="1" si="3"/>
        <v/>
      </c>
    </row>
    <row r="115" spans="1:26" ht="12.75" hidden="1" customHeight="1" x14ac:dyDescent="0.3">
      <c r="A115"/>
      <c r="B115"/>
      <c r="C115"/>
      <c r="D115"/>
      <c r="E115"/>
      <c r="F115"/>
      <c r="G115"/>
      <c r="I115" t="str">
        <f t="shared" ca="1" si="3"/>
        <v/>
      </c>
      <c r="J115" s="399" t="s">
        <v>64</v>
      </c>
      <c r="K115" s="399"/>
      <c r="L115" s="399"/>
      <c r="M115" s="399"/>
      <c r="N115" s="399"/>
      <c r="O115" s="399"/>
      <c r="P115" s="399"/>
      <c r="Q115" s="399"/>
      <c r="R115" s="399" t="s">
        <v>65</v>
      </c>
      <c r="S115" s="384" t="s">
        <v>66</v>
      </c>
      <c r="U115" s="384" t="s">
        <v>67</v>
      </c>
      <c r="V115" s="384"/>
      <c r="W115" s="384"/>
      <c r="X115" s="385" t="s">
        <v>68</v>
      </c>
      <c r="Y115" s="385" t="s">
        <v>69</v>
      </c>
      <c r="Z115" s="385" t="s">
        <v>70</v>
      </c>
    </row>
    <row r="116" spans="1:26" ht="12.75" hidden="1" customHeight="1" x14ac:dyDescent="0.3">
      <c r="A116"/>
      <c r="B116"/>
      <c r="C116"/>
      <c r="D116"/>
      <c r="E116"/>
      <c r="F116"/>
      <c r="G116"/>
      <c r="I116" t="str">
        <f t="shared" ca="1" si="3"/>
        <v/>
      </c>
      <c r="J116" s="399"/>
      <c r="K116" s="399"/>
      <c r="L116" s="399"/>
      <c r="M116" s="399"/>
      <c r="N116" s="399"/>
      <c r="O116" s="399"/>
      <c r="P116" s="399"/>
      <c r="Q116" s="399"/>
      <c r="R116" s="399"/>
      <c r="S116" s="384"/>
      <c r="U116" s="384"/>
      <c r="V116" s="384"/>
      <c r="W116" s="384"/>
      <c r="X116" s="385"/>
      <c r="Y116" s="385"/>
      <c r="Z116" s="385"/>
    </row>
    <row r="117" spans="1:26" ht="15" hidden="1" customHeight="1" x14ac:dyDescent="0.3">
      <c r="A117"/>
      <c r="B117"/>
      <c r="C117"/>
      <c r="D117"/>
      <c r="E117"/>
      <c r="F117"/>
      <c r="G117"/>
      <c r="I117" t="str">
        <f t="shared" ca="1" si="3"/>
        <v/>
      </c>
      <c r="J117" s="378" t="str">
        <f>IF($J$33=$A$184,"Encargos Sociais incidentes sobre a mão de obra","Administração Central")</f>
        <v>Administração Central</v>
      </c>
      <c r="K117" s="378"/>
      <c r="L117" s="378"/>
      <c r="M117" s="378"/>
      <c r="N117" s="378"/>
      <c r="O117" s="378"/>
      <c r="P117" s="378"/>
      <c r="Q117" s="378"/>
      <c r="R117" s="86" t="str">
        <f>IF($J113=$A$184,"K1","AC")</f>
        <v>AC</v>
      </c>
      <c r="S117" s="87"/>
      <c r="U117" s="386" t="s">
        <v>72</v>
      </c>
      <c r="V117" s="386"/>
      <c r="W117" s="386"/>
      <c r="X117" s="88" t="e">
        <f>VLOOKUP(CONCATENATE(J113,"-",R117),$C$2:$G$152,3,FALSE)</f>
        <v>#N/A</v>
      </c>
      <c r="Y117" s="88" t="e">
        <f>VLOOKUP(CONCATENATE(J113,"-",R117),$C$2:$G$152,4,FALSE)</f>
        <v>#N/A</v>
      </c>
      <c r="Z117" s="88" t="e">
        <f>VLOOKUP(CONCATENATE(J113,"-",R117),$C$2:$G$152,5,FALSE)</f>
        <v>#N/A</v>
      </c>
    </row>
    <row r="118" spans="1:26" ht="15" hidden="1" customHeight="1" x14ac:dyDescent="0.3">
      <c r="A118"/>
      <c r="B118"/>
      <c r="C118"/>
      <c r="D118"/>
      <c r="E118"/>
      <c r="F118"/>
      <c r="G118"/>
      <c r="I118" t="str">
        <f t="shared" ca="1" si="3"/>
        <v/>
      </c>
      <c r="J118" s="378" t="str">
        <f>IF($J$33=$A$184,"Administração Central da empresa ou consultoria - overhead","Seguro e Garantia")</f>
        <v>Seguro e Garantia</v>
      </c>
      <c r="K118" s="378"/>
      <c r="L118" s="378"/>
      <c r="M118" s="378"/>
      <c r="N118" s="378"/>
      <c r="O118" s="378"/>
      <c r="P118" s="378"/>
      <c r="Q118" s="378"/>
      <c r="R118" s="86" t="str">
        <f>IF($J113=$A$184,"K2","SG")</f>
        <v>SG</v>
      </c>
      <c r="S118" s="87"/>
      <c r="U118" s="386" t="s">
        <v>72</v>
      </c>
      <c r="V118" s="386"/>
      <c r="W118" s="386"/>
      <c r="X118" s="88" t="e">
        <f>VLOOKUP(CONCATENATE(J113,"-",R118),$C$2:$G$152,3,FALSE)</f>
        <v>#N/A</v>
      </c>
      <c r="Y118" s="88" t="e">
        <f>VLOOKUP(CONCATENATE(J113,"-",R118),$C$2:$G$152,4,FALSE)</f>
        <v>#N/A</v>
      </c>
      <c r="Z118" s="88" t="e">
        <f>VLOOKUP(CONCATENATE(J113,"-",R118),$C$2:$G$152,5,FALSE)</f>
        <v>#N/A</v>
      </c>
    </row>
    <row r="119" spans="1:26" ht="15" hidden="1" customHeight="1" x14ac:dyDescent="0.3">
      <c r="A119"/>
      <c r="B119"/>
      <c r="C119"/>
      <c r="D119"/>
      <c r="E119"/>
      <c r="F119"/>
      <c r="G119"/>
      <c r="I119" t="str">
        <f t="shared" ca="1" si="3"/>
        <v/>
      </c>
      <c r="J119" s="378" t="str">
        <f>IF($J$33=$A$184,"","Risco")</f>
        <v>Risco</v>
      </c>
      <c r="K119" s="378"/>
      <c r="L119" s="378"/>
      <c r="M119" s="378"/>
      <c r="N119" s="378"/>
      <c r="O119" s="378"/>
      <c r="P119" s="378"/>
      <c r="Q119" s="378"/>
      <c r="R119" s="86" t="str">
        <f>IF($J113=$A$184,"","R")</f>
        <v>R</v>
      </c>
      <c r="S119" s="87"/>
      <c r="U119" s="386" t="s">
        <v>72</v>
      </c>
      <c r="V119" s="386"/>
      <c r="W119" s="386"/>
      <c r="X119" s="88" t="e">
        <f>VLOOKUP(CONCATENATE(J113,"-",R119),$C$2:$G$152,3,FALSE)</f>
        <v>#N/A</v>
      </c>
      <c r="Y119" s="88" t="e">
        <f>VLOOKUP(CONCATENATE(J113,"-",R119),$C$2:$G$152,4,FALSE)</f>
        <v>#N/A</v>
      </c>
      <c r="Z119" s="88" t="e">
        <f>VLOOKUP(CONCATENATE(J113,"-",R119),$C$2:$G$152,5,FALSE)</f>
        <v>#N/A</v>
      </c>
    </row>
    <row r="120" spans="1:26" ht="15" hidden="1" customHeight="1" x14ac:dyDescent="0.3">
      <c r="A120"/>
      <c r="B120"/>
      <c r="C120"/>
      <c r="D120"/>
      <c r="E120"/>
      <c r="F120"/>
      <c r="G120"/>
      <c r="I120" t="str">
        <f t="shared" ca="1" si="3"/>
        <v/>
      </c>
      <c r="J120" s="378" t="str">
        <f>IF($J$33=$A$184,"","Despesas Financeiras")</f>
        <v>Despesas Financeiras</v>
      </c>
      <c r="K120" s="378"/>
      <c r="L120" s="378"/>
      <c r="M120" s="378"/>
      <c r="N120" s="378"/>
      <c r="O120" s="378"/>
      <c r="P120" s="378"/>
      <c r="Q120" s="378"/>
      <c r="R120" s="86" t="str">
        <f>IF($J113=$A$184,"","DF")</f>
        <v>DF</v>
      </c>
      <c r="S120" s="87"/>
      <c r="U120" s="386" t="s">
        <v>72</v>
      </c>
      <c r="V120" s="386"/>
      <c r="W120" s="386"/>
      <c r="X120" s="88" t="e">
        <f>VLOOKUP(CONCATENATE(J113,"-",R120),$C$2:$G$152,3,FALSE)</f>
        <v>#N/A</v>
      </c>
      <c r="Y120" s="88" t="e">
        <f>VLOOKUP(CONCATENATE(J113,"-",R120),$C$2:$G$152,4,FALSE)</f>
        <v>#N/A</v>
      </c>
      <c r="Z120" s="88" t="e">
        <f>VLOOKUP(CONCATENATE(J113,"-",R120),$C$2:$G$152,5,FALSE)</f>
        <v>#N/A</v>
      </c>
    </row>
    <row r="121" spans="1:26" ht="15" hidden="1" customHeight="1" x14ac:dyDescent="0.3">
      <c r="A121"/>
      <c r="B121"/>
      <c r="C121"/>
      <c r="D121"/>
      <c r="E121"/>
      <c r="F121"/>
      <c r="G121"/>
      <c r="I121" t="str">
        <f t="shared" ca="1" si="3"/>
        <v/>
      </c>
      <c r="J121" s="378" t="str">
        <f>IF($J$33=$A$184,"Margem bruta da empresa de consultoria","Lucro")</f>
        <v>Lucro</v>
      </c>
      <c r="K121" s="378"/>
      <c r="L121" s="378"/>
      <c r="M121" s="378"/>
      <c r="N121" s="378"/>
      <c r="O121" s="378"/>
      <c r="P121" s="378"/>
      <c r="Q121" s="378"/>
      <c r="R121" s="86" t="str">
        <f>IF($J113=$A$184,"K3","L")</f>
        <v>L</v>
      </c>
      <c r="S121" s="87"/>
      <c r="U121" s="386" t="s">
        <v>72</v>
      </c>
      <c r="V121" s="386"/>
      <c r="W121" s="386"/>
      <c r="X121" s="88" t="e">
        <f>VLOOKUP(CONCATENATE(J113,"-",R121),$C$2:$G$152,3,FALSE)</f>
        <v>#N/A</v>
      </c>
      <c r="Y121" s="88" t="e">
        <f>VLOOKUP(CONCATENATE(J113,"-",R121),$C$2:$G$152,4,FALSE)</f>
        <v>#N/A</v>
      </c>
      <c r="Z121" s="88" t="e">
        <f>VLOOKUP(CONCATENATE(J113,"-",R121),$C$2:$G$152,5,FALSE)</f>
        <v>#N/A</v>
      </c>
    </row>
    <row r="122" spans="1:26" ht="15" hidden="1" customHeight="1" x14ac:dyDescent="0.3">
      <c r="A122"/>
      <c r="B122"/>
      <c r="C122"/>
      <c r="D122"/>
      <c r="E122"/>
      <c r="F122"/>
      <c r="G122"/>
      <c r="I122" t="str">
        <f t="shared" ca="1" si="3"/>
        <v/>
      </c>
      <c r="J122" s="378" t="s">
        <v>74</v>
      </c>
      <c r="K122" s="378"/>
      <c r="L122" s="378"/>
      <c r="M122" s="378"/>
      <c r="N122" s="378"/>
      <c r="O122" s="378"/>
      <c r="P122" s="378"/>
      <c r="Q122" s="378"/>
      <c r="R122" s="86" t="s">
        <v>75</v>
      </c>
      <c r="S122" s="87"/>
      <c r="U122" s="386" t="s">
        <v>72</v>
      </c>
      <c r="V122" s="386"/>
      <c r="W122" s="386"/>
      <c r="X122" s="88">
        <v>3.6499999999999998E-2</v>
      </c>
      <c r="Y122" s="88">
        <v>3.6499999999999998E-2</v>
      </c>
      <c r="Z122" s="88">
        <v>3.6499999999999998E-2</v>
      </c>
    </row>
    <row r="123" spans="1:26" ht="15" hidden="1" customHeight="1" x14ac:dyDescent="0.3">
      <c r="A123"/>
      <c r="B123"/>
      <c r="C123"/>
      <c r="D123"/>
      <c r="E123"/>
      <c r="F123"/>
      <c r="G123"/>
      <c r="I123" t="str">
        <f t="shared" ca="1" si="3"/>
        <v/>
      </c>
      <c r="J123" s="378" t="s">
        <v>76</v>
      </c>
      <c r="K123" s="378"/>
      <c r="L123" s="378"/>
      <c r="M123" s="378"/>
      <c r="N123" s="378"/>
      <c r="O123" s="378"/>
      <c r="P123" s="378"/>
      <c r="Q123" s="378"/>
      <c r="R123" s="86" t="s">
        <v>77</v>
      </c>
      <c r="S123" s="88">
        <f ca="1">IF(AND($J113&lt;&gt;$A$181,COUNTA(OFFSET(S116,1,0,6))&gt;0),$R$27*$R$26,0)</f>
        <v>0</v>
      </c>
      <c r="U123" s="386" t="s">
        <v>72</v>
      </c>
      <c r="V123" s="386"/>
      <c r="W123" s="386"/>
      <c r="X123" s="88">
        <v>0</v>
      </c>
      <c r="Y123" s="88">
        <v>2.5000000000000001E-2</v>
      </c>
      <c r="Z123" s="88">
        <v>0.05</v>
      </c>
    </row>
    <row r="124" spans="1:26" ht="15" hidden="1" customHeight="1" x14ac:dyDescent="0.3">
      <c r="A124"/>
      <c r="B124"/>
      <c r="C124"/>
      <c r="D124"/>
      <c r="E124"/>
      <c r="F124"/>
      <c r="G124"/>
      <c r="I124" t="str">
        <f t="shared" ca="1" si="3"/>
        <v/>
      </c>
      <c r="J124" s="378" t="s">
        <v>78</v>
      </c>
      <c r="K124" s="378"/>
      <c r="L124" s="378"/>
      <c r="M124" s="378"/>
      <c r="N124" s="378"/>
      <c r="O124" s="378"/>
      <c r="P124" s="378"/>
      <c r="Q124" s="378"/>
      <c r="R124" s="86" t="s">
        <v>79</v>
      </c>
      <c r="S124" s="88">
        <f ca="1">IF(BDI.Opcao&lt;&gt;"Desonerado",0,IF(AND($J113&lt;&gt;$A$181,COUNTA(OFFSET(S116,1,0,6))&gt;0),4.5%,0%))</f>
        <v>0</v>
      </c>
      <c r="U124" s="386" t="s">
        <v>72</v>
      </c>
      <c r="V124" s="386"/>
      <c r="W124" s="386"/>
      <c r="X124" s="89">
        <v>0</v>
      </c>
      <c r="Y124" s="89">
        <v>4.4999999999999998E-2</v>
      </c>
      <c r="Z124" s="89">
        <v>4.4999999999999998E-2</v>
      </c>
    </row>
    <row r="125" spans="1:26" ht="15" hidden="1" customHeight="1" x14ac:dyDescent="0.3">
      <c r="A125"/>
      <c r="B125"/>
      <c r="C125"/>
      <c r="D125"/>
      <c r="E125"/>
      <c r="F125"/>
      <c r="G125"/>
      <c r="I125" t="str">
        <f t="shared" ca="1" si="3"/>
        <v/>
      </c>
      <c r="J125" s="378" t="s">
        <v>80</v>
      </c>
      <c r="K125" s="378"/>
      <c r="L125" s="378"/>
      <c r="M125" s="378"/>
      <c r="N125" s="378"/>
      <c r="O125" s="378"/>
      <c r="P125" s="378"/>
      <c r="Q125" s="378"/>
      <c r="R125" s="90" t="s">
        <v>56</v>
      </c>
      <c r="S125" s="88">
        <f ca="1">IF($J113=$A$181,0,ROUND((((1+S117+S118+S119)*(1+S120)*(1+S121)/(1-(S122+S123)))-1),4))</f>
        <v>0</v>
      </c>
      <c r="U125" s="384" t="e">
        <f ca="1">IF(OR($J$33=$A$184,$J$33=$A$181,AND(S125&gt;=X125,S125&lt;=Z125)),"OK","FORA DO INTERVALO")</f>
        <v>#N/A</v>
      </c>
      <c r="V125" s="384"/>
      <c r="W125" s="384"/>
      <c r="X125" s="88" t="e">
        <f>IF($J113=$A$181,0,VLOOKUP(CONCATENATE($J113,"-",$R125),$C$2:$G$152,3,FALSE))</f>
        <v>#N/A</v>
      </c>
      <c r="Y125" s="88" t="e">
        <f>IF($J113=$A$181,0,VLOOKUP(CONCATENATE($J113,"-",$R125),$C$2:$G$152,4,FALSE))</f>
        <v>#N/A</v>
      </c>
      <c r="Z125" s="88" t="e">
        <f>IF($J113=$A$181,0,VLOOKUP(CONCATENATE($J113,"-",$R125),$C$2:$G$152,5,FALSE))</f>
        <v>#N/A</v>
      </c>
    </row>
    <row r="126" spans="1:26" ht="15" hidden="1" customHeight="1" x14ac:dyDescent="0.3">
      <c r="A126"/>
      <c r="B126"/>
      <c r="C126"/>
      <c r="D126"/>
      <c r="E126"/>
      <c r="F126"/>
      <c r="G126"/>
      <c r="I126" t="str">
        <f t="shared" ca="1" si="3"/>
        <v/>
      </c>
      <c r="J126" s="396" t="s">
        <v>81</v>
      </c>
      <c r="K126" s="396"/>
      <c r="L126" s="396"/>
      <c r="M126" s="396"/>
      <c r="N126" s="396"/>
      <c r="O126" s="396"/>
      <c r="P126" s="396"/>
      <c r="Q126" s="396"/>
      <c r="R126" s="91" t="s">
        <v>82</v>
      </c>
      <c r="S126" s="92">
        <f ca="1">IF($J113=$A$181,0,ROUND((((1+S117+S118+S119)*(1+S120)*(1+S121)/(1-(S122+S123+S124)))-1),4))</f>
        <v>0</v>
      </c>
    </row>
    <row r="127" spans="1:26" ht="25.5" hidden="1" customHeight="1" x14ac:dyDescent="0.3">
      <c r="A127"/>
      <c r="B127"/>
      <c r="C127"/>
      <c r="D127"/>
      <c r="E127"/>
      <c r="F127"/>
      <c r="G127"/>
      <c r="I127" t="str">
        <f t="shared" ca="1" si="3"/>
        <v/>
      </c>
    </row>
    <row r="128" spans="1:26" ht="15.6" hidden="1" x14ac:dyDescent="0.3">
      <c r="A128"/>
      <c r="B128"/>
      <c r="C128"/>
      <c r="D128"/>
      <c r="E128"/>
      <c r="F128"/>
      <c r="G128"/>
      <c r="I128" t="str">
        <f t="shared" ca="1" si="3"/>
        <v/>
      </c>
      <c r="J128" s="64" t="e">
        <f ca="1">IF(U125&lt;&gt;"ok","X","")</f>
        <v>#N/A</v>
      </c>
      <c r="K128" s="397" t="e">
        <f ca="1">IF(U125&lt;&gt;"ok","Anexo: Relatório Técnico Circunstanciado justificando a adoção do percentual de cada parcela do BDI.","")</f>
        <v>#N/A</v>
      </c>
      <c r="L128" s="397"/>
      <c r="M128" s="397"/>
      <c r="N128" s="397"/>
      <c r="O128" s="397"/>
      <c r="P128" s="397"/>
      <c r="Q128" s="397"/>
      <c r="R128" s="397"/>
      <c r="S128" s="397"/>
    </row>
    <row r="129" spans="1:19" hidden="1" x14ac:dyDescent="0.3">
      <c r="A129"/>
      <c r="B129"/>
      <c r="C129"/>
      <c r="D129"/>
      <c r="E129"/>
      <c r="F129"/>
      <c r="G129"/>
      <c r="I129" t="str">
        <f t="shared" ca="1" si="3"/>
        <v/>
      </c>
    </row>
    <row r="130" spans="1:19" hidden="1" x14ac:dyDescent="0.3">
      <c r="A130"/>
      <c r="B130"/>
      <c r="C130"/>
      <c r="D130"/>
      <c r="E130"/>
      <c r="F130"/>
      <c r="G130"/>
      <c r="I130" t="str">
        <f t="shared" ca="1" si="3"/>
        <v/>
      </c>
      <c r="J130" s="345" t="s">
        <v>84</v>
      </c>
      <c r="K130" s="345"/>
      <c r="L130" s="345"/>
      <c r="M130" s="345"/>
      <c r="N130" s="345"/>
      <c r="O130" s="345"/>
      <c r="P130" s="345"/>
      <c r="Q130" s="345"/>
      <c r="R130" s="345"/>
      <c r="S130" s="345"/>
    </row>
    <row r="131" spans="1:19" ht="15.6" hidden="1" x14ac:dyDescent="0.3">
      <c r="A131"/>
      <c r="B131"/>
      <c r="C131"/>
      <c r="D131"/>
      <c r="E131"/>
      <c r="F131"/>
      <c r="G131"/>
      <c r="I131" t="str">
        <f t="shared" ca="1" si="3"/>
        <v/>
      </c>
      <c r="J131" s="65"/>
      <c r="K131" s="65"/>
      <c r="L131" s="65"/>
      <c r="M131" s="392" t="s">
        <v>85</v>
      </c>
      <c r="N131" s="393" t="str">
        <f>IF($J113=$A$184,"(1+K1+K2)*(1+K3)","(1+AC + S + R + G)*(1 + DF)*(1+L)")</f>
        <v>(1+AC + S + R + G)*(1 + DF)*(1+L)</v>
      </c>
      <c r="O131" s="393"/>
      <c r="P131" s="393"/>
      <c r="Q131" s="394" t="s">
        <v>86</v>
      </c>
      <c r="R131" s="65"/>
      <c r="S131" s="65"/>
    </row>
    <row r="132" spans="1:19" ht="15.6" hidden="1" x14ac:dyDescent="0.3">
      <c r="A132"/>
      <c r="B132"/>
      <c r="C132"/>
      <c r="D132"/>
      <c r="E132"/>
      <c r="F132"/>
      <c r="G132"/>
      <c r="I132" t="str">
        <f t="shared" ca="1" si="3"/>
        <v/>
      </c>
      <c r="J132" s="65"/>
      <c r="K132" s="65"/>
      <c r="L132" s="65"/>
      <c r="M132" s="392"/>
      <c r="N132" s="395" t="s">
        <v>114</v>
      </c>
      <c r="O132" s="395"/>
      <c r="P132" s="395"/>
      <c r="Q132" s="394"/>
      <c r="R132" s="65"/>
      <c r="S132" s="65"/>
    </row>
    <row r="133" spans="1:19" ht="15" hidden="1" customHeight="1" x14ac:dyDescent="0.3">
      <c r="A133"/>
      <c r="B133"/>
      <c r="C133"/>
      <c r="D133"/>
      <c r="E133"/>
      <c r="F133"/>
      <c r="G133"/>
      <c r="I133" t="str">
        <f t="shared" ca="1" si="3"/>
        <v/>
      </c>
      <c r="J133" s="65"/>
      <c r="K133" s="65"/>
      <c r="L133" s="65"/>
      <c r="M133" s="73"/>
      <c r="N133" s="74"/>
      <c r="O133" s="74"/>
      <c r="P133" s="74"/>
      <c r="Q133" s="75"/>
      <c r="R133" s="65"/>
      <c r="S133" s="65"/>
    </row>
    <row r="134" spans="1:19" ht="50.1" hidden="1" customHeight="1" x14ac:dyDescent="0.3">
      <c r="A134"/>
      <c r="B134"/>
      <c r="C134"/>
      <c r="D134"/>
      <c r="E134"/>
      <c r="F134"/>
      <c r="G134"/>
      <c r="I134" t="str">
        <f t="shared" ca="1" si="3"/>
        <v/>
      </c>
      <c r="J134" s="380" t="str">
        <f>CONCATENATE("Declaro para os devidos fins que, conforme legislação tributária municipal, a base de cálculo deste tipo de obra corresponde à ",$R$26*100,"%, com a respectiva alíquota de ",$R$27*100,"%.")</f>
        <v>Declaro para os devidos fins que, conforme legislação tributária municipal, a base de cálculo deste tipo de obra corresponde à 50%, com a respectiva alíquota de 5%.</v>
      </c>
      <c r="K134" s="380"/>
      <c r="L134" s="380"/>
      <c r="M134" s="380"/>
      <c r="N134" s="380"/>
      <c r="O134" s="380"/>
      <c r="P134" s="380"/>
      <c r="Q134" s="380"/>
      <c r="R134" s="380"/>
      <c r="S134" s="380"/>
    </row>
    <row r="135" spans="1:19" hidden="1" x14ac:dyDescent="0.3">
      <c r="A135"/>
      <c r="B135"/>
      <c r="C135"/>
      <c r="D135"/>
      <c r="E135"/>
      <c r="F135"/>
      <c r="G135"/>
      <c r="I135" t="str">
        <f t="shared" ca="1" si="3"/>
        <v/>
      </c>
    </row>
    <row r="136" spans="1:19" ht="50.1" hidden="1" customHeight="1" x14ac:dyDescent="0.3">
      <c r="A136"/>
      <c r="B136"/>
      <c r="C136"/>
      <c r="D136"/>
      <c r="E136"/>
      <c r="F136"/>
      <c r="G136"/>
      <c r="I136" t="str">
        <f t="shared" ca="1" si="3"/>
        <v/>
      </c>
      <c r="J136" s="380"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136" s="380"/>
      <c r="L136" s="380"/>
      <c r="M136" s="380"/>
      <c r="N136" s="380"/>
      <c r="O136" s="380"/>
      <c r="P136" s="380"/>
      <c r="Q136" s="380"/>
      <c r="R136" s="380"/>
      <c r="S136" s="380"/>
    </row>
    <row r="137" spans="1:19" hidden="1" x14ac:dyDescent="0.3">
      <c r="A137"/>
      <c r="B137"/>
      <c r="C137"/>
      <c r="D137"/>
      <c r="E137"/>
      <c r="F137"/>
      <c r="G137"/>
      <c r="I137" t="str">
        <f t="shared" ca="1" si="3"/>
        <v/>
      </c>
    </row>
    <row r="138" spans="1:19" hidden="1" x14ac:dyDescent="0.3">
      <c r="A138"/>
      <c r="B138"/>
      <c r="C138"/>
      <c r="D138"/>
      <c r="E138"/>
      <c r="F138"/>
      <c r="G138"/>
      <c r="I138" t="str">
        <f t="shared" ca="1" si="3"/>
        <v/>
      </c>
      <c r="J138" s="60" t="s">
        <v>88</v>
      </c>
    </row>
    <row r="139" spans="1:19" ht="110.1" hidden="1" customHeight="1" x14ac:dyDescent="0.3">
      <c r="A139"/>
      <c r="B139"/>
      <c r="C139"/>
      <c r="D139"/>
      <c r="E139"/>
      <c r="F139"/>
      <c r="G139"/>
      <c r="I139" t="str">
        <f t="shared" ca="1" si="3"/>
        <v/>
      </c>
      <c r="J139" s="381"/>
      <c r="K139" s="381"/>
      <c r="L139" s="381"/>
      <c r="M139" s="381"/>
      <c r="N139" s="381"/>
      <c r="O139" s="381"/>
      <c r="P139" s="381"/>
      <c r="Q139" s="381"/>
      <c r="R139" s="381"/>
      <c r="S139" s="381"/>
    </row>
    <row r="140" spans="1:19" hidden="1" x14ac:dyDescent="0.3">
      <c r="A140"/>
      <c r="B140"/>
      <c r="C140"/>
      <c r="D140"/>
      <c r="E140"/>
      <c r="F140"/>
      <c r="G140"/>
      <c r="I140" t="str">
        <f t="shared" ca="1" si="3"/>
        <v/>
      </c>
    </row>
    <row r="141" spans="1:19" hidden="1" x14ac:dyDescent="0.3">
      <c r="A141"/>
      <c r="B141"/>
      <c r="C141"/>
      <c r="D141"/>
      <c r="E141"/>
      <c r="F141"/>
      <c r="G141"/>
      <c r="I141" t="str">
        <f t="shared" ca="1" si="3"/>
        <v/>
      </c>
      <c r="J141" s="382">
        <f>Import.Município</f>
        <v>7.400000000000001E-2</v>
      </c>
      <c r="K141" s="382"/>
      <c r="L141" s="382"/>
      <c r="M141" s="382"/>
      <c r="P141" s="383">
        <f>[1]DADOS!$F$25</f>
        <v>43235</v>
      </c>
      <c r="Q141" s="383"/>
      <c r="R141" s="383"/>
      <c r="S141" s="383"/>
    </row>
    <row r="142" spans="1:19" hidden="1" x14ac:dyDescent="0.3">
      <c r="A142"/>
      <c r="B142"/>
      <c r="C142"/>
      <c r="D142"/>
      <c r="E142"/>
      <c r="F142"/>
      <c r="G142"/>
      <c r="I142" t="str">
        <f t="shared" ca="1" si="3"/>
        <v/>
      </c>
      <c r="J142" s="400" t="s">
        <v>92</v>
      </c>
      <c r="K142" s="400"/>
      <c r="L142" s="400"/>
      <c r="M142" s="400"/>
      <c r="O142" s="67"/>
      <c r="P142" s="93" t="s">
        <v>115</v>
      </c>
      <c r="Q142" s="94"/>
      <c r="R142" s="94"/>
      <c r="S142" s="94"/>
    </row>
    <row r="143" spans="1:19" ht="30" hidden="1" customHeight="1" x14ac:dyDescent="0.3">
      <c r="A143"/>
      <c r="B143"/>
      <c r="C143"/>
      <c r="D143"/>
      <c r="E143"/>
      <c r="F143"/>
      <c r="G143"/>
      <c r="I143" t="str">
        <f t="shared" ca="1" si="3"/>
        <v/>
      </c>
    </row>
    <row r="144" spans="1:19" hidden="1" x14ac:dyDescent="0.3">
      <c r="A144"/>
      <c r="B144"/>
      <c r="C144"/>
      <c r="D144"/>
      <c r="E144"/>
      <c r="F144"/>
      <c r="G144"/>
      <c r="I144" t="str">
        <f t="shared" ca="1" si="3"/>
        <v/>
      </c>
      <c r="J144" s="401"/>
      <c r="K144" s="401"/>
      <c r="L144" s="401"/>
      <c r="M144" s="401"/>
      <c r="N144" s="68"/>
    </row>
    <row r="145" spans="1:14" hidden="1" x14ac:dyDescent="0.3">
      <c r="A145"/>
      <c r="B145"/>
      <c r="C145"/>
      <c r="D145"/>
      <c r="E145"/>
      <c r="F145"/>
      <c r="G145"/>
      <c r="I145" t="str">
        <f t="shared" ca="1" si="3"/>
        <v/>
      </c>
      <c r="J145" s="398" t="s">
        <v>116</v>
      </c>
      <c r="K145" s="398"/>
      <c r="L145" s="398"/>
      <c r="M145" s="398"/>
    </row>
    <row r="146" spans="1:14" hidden="1" x14ac:dyDescent="0.3">
      <c r="A146"/>
      <c r="B146"/>
      <c r="C146"/>
      <c r="D146"/>
      <c r="E146"/>
      <c r="F146"/>
      <c r="G146"/>
      <c r="I146" t="str">
        <f t="shared" ca="1" si="3"/>
        <v/>
      </c>
      <c r="J146" s="69" t="s">
        <v>117</v>
      </c>
      <c r="K146" s="70">
        <f t="array" ref="K146:K148">Import.RespOrçamento</f>
        <v>0</v>
      </c>
      <c r="L146" s="71"/>
      <c r="M146" s="71"/>
      <c r="N146" s="68"/>
    </row>
    <row r="147" spans="1:14" hidden="1" x14ac:dyDescent="0.3">
      <c r="A147"/>
      <c r="B147"/>
      <c r="C147"/>
      <c r="D147"/>
      <c r="E147"/>
      <c r="F147"/>
      <c r="G147"/>
      <c r="I147" t="str">
        <f t="shared" ca="1" si="3"/>
        <v/>
      </c>
      <c r="J147" s="69" t="s">
        <v>118</v>
      </c>
      <c r="K147" s="70">
        <v>0</v>
      </c>
      <c r="L147" s="71"/>
      <c r="M147" s="71"/>
      <c r="N147" s="68"/>
    </row>
    <row r="148" spans="1:14" hidden="1" x14ac:dyDescent="0.3">
      <c r="A148"/>
      <c r="B148"/>
      <c r="C148"/>
      <c r="D148"/>
      <c r="E148"/>
      <c r="F148"/>
      <c r="G148"/>
      <c r="I148" t="str">
        <f t="shared" ca="1" si="3"/>
        <v/>
      </c>
      <c r="J148" s="69" t="s">
        <v>119</v>
      </c>
      <c r="K148" s="70">
        <v>0</v>
      </c>
      <c r="L148" s="71"/>
      <c r="M148" s="71"/>
      <c r="N148" s="68"/>
    </row>
    <row r="149" spans="1:14" hidden="1" x14ac:dyDescent="0.3">
      <c r="A149"/>
      <c r="B149"/>
      <c r="C149"/>
      <c r="D149"/>
      <c r="E149"/>
      <c r="F149"/>
      <c r="G149"/>
    </row>
    <row r="150" spans="1:14" hidden="1" x14ac:dyDescent="0.3">
      <c r="A150"/>
      <c r="B150"/>
      <c r="C150"/>
      <c r="D150"/>
      <c r="E150"/>
      <c r="F150"/>
      <c r="G150"/>
    </row>
    <row r="151" spans="1:14" hidden="1" x14ac:dyDescent="0.3">
      <c r="A151"/>
      <c r="B151"/>
      <c r="C151"/>
      <c r="D151"/>
      <c r="E151"/>
      <c r="F151"/>
      <c r="G151"/>
    </row>
    <row r="152" spans="1:14" hidden="1" x14ac:dyDescent="0.3">
      <c r="A152"/>
      <c r="B152"/>
      <c r="C152"/>
      <c r="D152"/>
      <c r="E152"/>
      <c r="F152"/>
      <c r="G152"/>
    </row>
    <row r="153" spans="1:14" hidden="1" x14ac:dyDescent="0.3">
      <c r="A153"/>
      <c r="B153"/>
      <c r="C153"/>
      <c r="D153"/>
      <c r="E153"/>
      <c r="F153"/>
      <c r="G153"/>
    </row>
    <row r="154" spans="1:14" hidden="1" x14ac:dyDescent="0.3">
      <c r="A154" s="60" t="s">
        <v>121</v>
      </c>
    </row>
    <row r="155" spans="1:14" hidden="1" x14ac:dyDescent="0.3">
      <c r="A155" s="60" t="s">
        <v>49</v>
      </c>
    </row>
    <row r="156" spans="1:14" hidden="1" x14ac:dyDescent="0.3">
      <c r="A156" s="60" t="s">
        <v>57</v>
      </c>
    </row>
    <row r="157" spans="1:14" hidden="1" x14ac:dyDescent="0.3">
      <c r="A157" s="60" t="s">
        <v>62</v>
      </c>
    </row>
    <row r="158" spans="1:14" hidden="1" x14ac:dyDescent="0.3">
      <c r="A158" s="60" t="s">
        <v>71</v>
      </c>
    </row>
    <row r="159" spans="1:14" x14ac:dyDescent="0.3">
      <c r="A159" s="60" t="s">
        <v>73</v>
      </c>
    </row>
    <row r="174" spans="1:1" x14ac:dyDescent="0.3">
      <c r="A174" s="60" t="s">
        <v>83</v>
      </c>
    </row>
    <row r="177" spans="1:20" x14ac:dyDescent="0.3">
      <c r="J177"/>
      <c r="K177"/>
      <c r="L177"/>
      <c r="M177"/>
      <c r="N177"/>
      <c r="O177"/>
      <c r="P177"/>
      <c r="Q177"/>
      <c r="R177"/>
      <c r="S177"/>
    </row>
    <row r="178" spans="1:20" x14ac:dyDescent="0.3">
      <c r="J178" s="117" t="s">
        <v>695</v>
      </c>
      <c r="K178" s="97"/>
      <c r="L178" s="119"/>
      <c r="M178" s="119"/>
      <c r="O178" s="231"/>
      <c r="P178" s="231"/>
      <c r="S178" s="233"/>
    </row>
    <row r="179" spans="1:20" x14ac:dyDescent="0.3">
      <c r="J179" s="117" t="s">
        <v>697</v>
      </c>
      <c r="K179" s="97"/>
      <c r="L179" s="97"/>
      <c r="M179" s="118"/>
      <c r="O179" s="234"/>
      <c r="P179" s="234"/>
      <c r="S179" s="233"/>
    </row>
    <row r="180" spans="1:20" x14ac:dyDescent="0.3">
      <c r="J180" s="117" t="s">
        <v>698</v>
      </c>
      <c r="K180" s="97"/>
      <c r="L180" s="119"/>
      <c r="M180" s="118"/>
      <c r="O180" s="234"/>
      <c r="P180" s="59"/>
      <c r="S180" s="58"/>
    </row>
    <row r="181" spans="1:20" x14ac:dyDescent="0.3">
      <c r="A181" s="60" t="s">
        <v>87</v>
      </c>
      <c r="J181" s="117" t="s">
        <v>700</v>
      </c>
      <c r="K181" s="97"/>
      <c r="L181" s="119"/>
      <c r="M181" s="118"/>
      <c r="O181" s="234"/>
      <c r="P181" s="59"/>
      <c r="S181" s="58"/>
    </row>
    <row r="182" spans="1:20" x14ac:dyDescent="0.3">
      <c r="J182" s="236" t="s">
        <v>702</v>
      </c>
      <c r="K182" s="97"/>
      <c r="L182" s="119"/>
      <c r="M182" s="118"/>
      <c r="N182" s="236"/>
      <c r="O182" s="234"/>
      <c r="P182" s="237"/>
      <c r="Q182" s="232"/>
      <c r="R182" s="58"/>
      <c r="S182" s="58"/>
    </row>
    <row r="183" spans="1:20" x14ac:dyDescent="0.3">
      <c r="J183" s="3"/>
      <c r="K183" s="3"/>
      <c r="L183" s="1"/>
      <c r="M183" s="4"/>
      <c r="N183" s="2"/>
      <c r="O183" s="2"/>
      <c r="P183" s="2"/>
      <c r="Q183" s="5"/>
      <c r="R183" s="5"/>
      <c r="S183" s="5"/>
    </row>
    <row r="184" spans="1:20" x14ac:dyDescent="0.3">
      <c r="A184" s="60" t="s">
        <v>89</v>
      </c>
      <c r="J184" s="111" t="s">
        <v>696</v>
      </c>
      <c r="K184" s="3"/>
      <c r="L184" s="1"/>
      <c r="M184" s="4"/>
      <c r="N184" s="2"/>
      <c r="O184" s="2"/>
      <c r="P184" s="2"/>
      <c r="Q184" s="5"/>
      <c r="R184" s="5"/>
      <c r="S184" s="5"/>
    </row>
    <row r="185" spans="1:20" x14ac:dyDescent="0.3">
      <c r="J185" s="111" t="s">
        <v>687</v>
      </c>
      <c r="K185" s="3"/>
      <c r="L185" s="1"/>
      <c r="M185" s="4"/>
      <c r="N185" s="2"/>
      <c r="O185" s="2"/>
      <c r="P185" s="2"/>
      <c r="Q185" s="5"/>
      <c r="R185" s="5"/>
      <c r="S185" s="5"/>
    </row>
    <row r="186" spans="1:20" x14ac:dyDescent="0.3">
      <c r="J186" s="111" t="s">
        <v>699</v>
      </c>
      <c r="K186" s="3"/>
      <c r="L186" s="1"/>
      <c r="M186" s="4"/>
      <c r="N186" s="2"/>
      <c r="O186" s="2"/>
      <c r="P186" s="2"/>
      <c r="Q186" s="5"/>
      <c r="R186" s="5"/>
      <c r="S186" s="5"/>
    </row>
    <row r="187" spans="1:20" x14ac:dyDescent="0.3">
      <c r="J187" s="111" t="s">
        <v>701</v>
      </c>
      <c r="K187" s="3"/>
      <c r="L187" s="1"/>
      <c r="M187" s="4"/>
      <c r="N187" s="2"/>
      <c r="O187" s="2"/>
      <c r="P187" s="2"/>
      <c r="Q187" s="5"/>
      <c r="R187" s="5"/>
      <c r="S187" s="5"/>
    </row>
    <row r="189" spans="1:20" ht="15.6" x14ac:dyDescent="0.3">
      <c r="J189" s="366" t="s">
        <v>705</v>
      </c>
      <c r="K189" s="366"/>
      <c r="L189" s="366"/>
      <c r="M189" s="366"/>
      <c r="N189" s="366"/>
      <c r="O189" s="366"/>
      <c r="P189" s="366"/>
      <c r="Q189" s="366"/>
      <c r="R189" s="366"/>
      <c r="S189" s="366"/>
      <c r="T189" s="244"/>
    </row>
    <row r="190" spans="1:20" x14ac:dyDescent="0.3">
      <c r="J190" s="240"/>
      <c r="K190" s="240"/>
      <c r="L190" s="241"/>
      <c r="M190" s="242"/>
      <c r="N190" s="243"/>
      <c r="O190" s="243"/>
      <c r="P190" s="243"/>
      <c r="Q190" s="244"/>
      <c r="R190" s="244"/>
      <c r="S190" s="244"/>
      <c r="T190" s="244"/>
    </row>
    <row r="191" spans="1:20" x14ac:dyDescent="0.3">
      <c r="J191" s="358" t="s">
        <v>58</v>
      </c>
      <c r="K191" s="358"/>
      <c r="L191" s="358"/>
      <c r="M191" s="358"/>
      <c r="N191" s="358"/>
      <c r="O191" s="358"/>
      <c r="P191" s="358"/>
      <c r="Q191" s="358"/>
      <c r="R191" s="359">
        <v>0.5</v>
      </c>
      <c r="S191" s="359"/>
    </row>
    <row r="192" spans="1:20" x14ac:dyDescent="0.3">
      <c r="J192" s="360" t="s">
        <v>60</v>
      </c>
      <c r="K192" s="360"/>
      <c r="L192" s="360"/>
      <c r="M192" s="360"/>
      <c r="N192" s="360"/>
      <c r="O192" s="360"/>
      <c r="P192" s="360"/>
      <c r="Q192" s="360"/>
      <c r="R192" s="359">
        <v>0.05</v>
      </c>
      <c r="S192" s="359"/>
    </row>
    <row r="193" spans="10:26" x14ac:dyDescent="0.3">
      <c r="J193" s="245"/>
      <c r="K193" s="245"/>
      <c r="L193" s="245"/>
      <c r="M193" s="245"/>
      <c r="N193" s="245"/>
      <c r="O193" s="245"/>
      <c r="P193" s="245"/>
      <c r="Q193" s="245"/>
      <c r="R193" s="245"/>
      <c r="S193" s="245"/>
    </row>
    <row r="194" spans="10:26" ht="14.4" hidden="1" customHeight="1" x14ac:dyDescent="0.3"/>
    <row r="195" spans="10:26" ht="15.6" hidden="1" x14ac:dyDescent="0.3">
      <c r="J195" s="361" t="s">
        <v>113</v>
      </c>
      <c r="K195" s="361"/>
      <c r="L195" s="361"/>
      <c r="M195" s="361"/>
      <c r="N195" s="361"/>
      <c r="O195" s="361"/>
      <c r="P195" s="361"/>
      <c r="Q195" s="361"/>
      <c r="R195" s="361"/>
      <c r="S195" s="361"/>
    </row>
    <row r="196" spans="10:26" hidden="1" x14ac:dyDescent="0.3"/>
    <row r="197" spans="10:26" x14ac:dyDescent="0.3">
      <c r="J197" s="362" t="s">
        <v>63</v>
      </c>
      <c r="K197" s="362"/>
      <c r="L197" s="362"/>
      <c r="M197" s="362"/>
      <c r="N197" s="362"/>
      <c r="O197" s="362"/>
      <c r="P197" s="362"/>
      <c r="Q197" s="362"/>
      <c r="R197" s="362"/>
      <c r="S197" s="362"/>
    </row>
    <row r="198" spans="10:26" x14ac:dyDescent="0.3">
      <c r="J198" s="363" t="s">
        <v>83</v>
      </c>
      <c r="K198" s="363"/>
      <c r="L198" s="363"/>
      <c r="M198" s="363"/>
      <c r="N198" s="363"/>
      <c r="O198" s="363"/>
      <c r="P198" s="363"/>
      <c r="Q198" s="363"/>
      <c r="R198" s="363"/>
      <c r="S198" s="363"/>
    </row>
    <row r="200" spans="10:26" ht="14.4" customHeight="1" x14ac:dyDescent="0.3">
      <c r="J200" s="364" t="s">
        <v>64</v>
      </c>
      <c r="K200" s="364"/>
      <c r="L200" s="364"/>
      <c r="M200" s="364"/>
      <c r="N200" s="364"/>
      <c r="O200" s="364"/>
      <c r="P200" s="364"/>
      <c r="Q200" s="364"/>
      <c r="R200" s="364" t="s">
        <v>65</v>
      </c>
      <c r="S200" s="365" t="s">
        <v>66</v>
      </c>
      <c r="U200" s="354" t="s">
        <v>67</v>
      </c>
      <c r="V200" s="354"/>
      <c r="W200" s="354"/>
      <c r="X200" s="357" t="s">
        <v>68</v>
      </c>
      <c r="Y200" s="357" t="s">
        <v>69</v>
      </c>
      <c r="Z200" s="357" t="s">
        <v>70</v>
      </c>
    </row>
    <row r="201" spans="10:26" x14ac:dyDescent="0.3">
      <c r="J201" s="364"/>
      <c r="K201" s="364"/>
      <c r="L201" s="364"/>
      <c r="M201" s="364"/>
      <c r="N201" s="364"/>
      <c r="O201" s="364"/>
      <c r="P201" s="364"/>
      <c r="Q201" s="364"/>
      <c r="R201" s="364"/>
      <c r="S201" s="365"/>
      <c r="U201" s="354"/>
      <c r="V201" s="354"/>
      <c r="W201" s="354"/>
      <c r="X201" s="357"/>
      <c r="Y201" s="357"/>
      <c r="Z201" s="357"/>
    </row>
    <row r="202" spans="10:26" x14ac:dyDescent="0.3">
      <c r="J202" s="352" t="str">
        <f>IF($J$33=$A$184,"Encargos Sociais incidentes sobre a mão de obra","Administração Central")</f>
        <v>Administração Central</v>
      </c>
      <c r="K202" s="352"/>
      <c r="L202" s="352"/>
      <c r="M202" s="352"/>
      <c r="N202" s="352"/>
      <c r="O202" s="352"/>
      <c r="P202" s="352"/>
      <c r="Q202" s="352"/>
      <c r="R202" s="246" t="str">
        <f>IF($J198=$A$184,"K1","AC")</f>
        <v>AC</v>
      </c>
      <c r="S202" s="247">
        <f t="shared" ref="S202:S207" si="4">X202</f>
        <v>1.4999999999999999E-2</v>
      </c>
      <c r="U202" s="351" t="s">
        <v>72</v>
      </c>
      <c r="V202" s="351"/>
      <c r="W202" s="351"/>
      <c r="X202" s="248">
        <f>VLOOKUP(CONCATENATE(J198,"-",R202),$C$2:$G$152,3,FALSE)</f>
        <v>1.4999999999999999E-2</v>
      </c>
      <c r="Y202" s="248">
        <f>VLOOKUP(CONCATENATE(J198,"-",R202),$C$2:$G$152,4,FALSE)</f>
        <v>3.4500000000000003E-2</v>
      </c>
      <c r="Z202" s="248">
        <f>VLOOKUP(CONCATENATE(J198,"-",R202),$C$2:$G$152,5,FALSE)</f>
        <v>4.4900000000000002E-2</v>
      </c>
    </row>
    <row r="203" spans="10:26" x14ac:dyDescent="0.3">
      <c r="J203" s="352" t="str">
        <f>IF($J$33=$A$184,"Administração Central da empresa ou consultoria - overhead","Seguro e Garantia")</f>
        <v>Seguro e Garantia</v>
      </c>
      <c r="K203" s="352"/>
      <c r="L203" s="352"/>
      <c r="M203" s="352"/>
      <c r="N203" s="352"/>
      <c r="O203" s="352"/>
      <c r="P203" s="352"/>
      <c r="Q203" s="352"/>
      <c r="R203" s="246" t="str">
        <f>IF($J198=$A$184,"K2","SG")</f>
        <v>SG</v>
      </c>
      <c r="S203" s="247">
        <f t="shared" si="4"/>
        <v>3.0000000000000001E-3</v>
      </c>
      <c r="U203" s="351" t="s">
        <v>72</v>
      </c>
      <c r="V203" s="351"/>
      <c r="W203" s="351"/>
      <c r="X203" s="248">
        <f>VLOOKUP(CONCATENATE(J198,"-",R203),$C$2:$G$152,3,FALSE)</f>
        <v>3.0000000000000001E-3</v>
      </c>
      <c r="Y203" s="248">
        <f>VLOOKUP(CONCATENATE(J198,"-",R203),$C$2:$G$152,4,FALSE)</f>
        <v>4.7999999999999996E-3</v>
      </c>
      <c r="Z203" s="248">
        <f>VLOOKUP(CONCATENATE(J198,"-",R203),$C$2:$G$152,5,FALSE)</f>
        <v>8.199999999999999E-3</v>
      </c>
    </row>
    <row r="204" spans="10:26" x14ac:dyDescent="0.3">
      <c r="J204" s="352" t="str">
        <f>IF($J$33=$A$184,"","Risco")</f>
        <v>Risco</v>
      </c>
      <c r="K204" s="352"/>
      <c r="L204" s="352"/>
      <c r="M204" s="352"/>
      <c r="N204" s="352"/>
      <c r="O204" s="352"/>
      <c r="P204" s="352"/>
      <c r="Q204" s="352"/>
      <c r="R204" s="246" t="str">
        <f>IF($J198=$A$184,"","R")</f>
        <v>R</v>
      </c>
      <c r="S204" s="247">
        <f t="shared" si="4"/>
        <v>5.6000000000000008E-3</v>
      </c>
      <c r="U204" s="351" t="s">
        <v>72</v>
      </c>
      <c r="V204" s="351"/>
      <c r="W204" s="351"/>
      <c r="X204" s="248">
        <f>VLOOKUP(CONCATENATE(J198,"-",R204),$C$2:$G$152,3,FALSE)</f>
        <v>5.6000000000000008E-3</v>
      </c>
      <c r="Y204" s="248">
        <f>VLOOKUP(CONCATENATE(J198,"-",R204),$C$2:$G$152,4,FALSE)</f>
        <v>8.5000000000000006E-3</v>
      </c>
      <c r="Z204" s="248">
        <f>VLOOKUP(CONCATENATE(J198,"-",R204),$C$2:$G$152,5,FALSE)</f>
        <v>8.8999999999999999E-3</v>
      </c>
    </row>
    <row r="205" spans="10:26" x14ac:dyDescent="0.3">
      <c r="J205" s="352" t="str">
        <f>IF($J$33=$A$184,"","Despesas Financeiras")</f>
        <v>Despesas Financeiras</v>
      </c>
      <c r="K205" s="352"/>
      <c r="L205" s="352"/>
      <c r="M205" s="352"/>
      <c r="N205" s="352"/>
      <c r="O205" s="352"/>
      <c r="P205" s="352"/>
      <c r="Q205" s="352"/>
      <c r="R205" s="246" t="str">
        <f>IF($J198=$A$184,"","DF")</f>
        <v>DF</v>
      </c>
      <c r="S205" s="247">
        <f t="shared" si="4"/>
        <v>8.5000000000000006E-3</v>
      </c>
      <c r="U205" s="351" t="s">
        <v>72</v>
      </c>
      <c r="V205" s="351"/>
      <c r="W205" s="351"/>
      <c r="X205" s="248">
        <f>VLOOKUP(CONCATENATE(J198,"-",R205),$C$2:$G$152,3,FALSE)</f>
        <v>8.5000000000000006E-3</v>
      </c>
      <c r="Y205" s="248">
        <f>VLOOKUP(CONCATENATE(J198,"-",R205),$C$2:$G$152,4,FALSE)</f>
        <v>8.5000000000000006E-3</v>
      </c>
      <c r="Z205" s="248">
        <f>VLOOKUP(CONCATENATE(J198,"-",R205),$C$2:$G$152,5,FALSE)</f>
        <v>1.11E-2</v>
      </c>
    </row>
    <row r="206" spans="10:26" x14ac:dyDescent="0.3">
      <c r="J206" s="352" t="str">
        <f>IF($J$33=$A$184,"Margem bruta da empresa de consultoria","Lucro")</f>
        <v>Lucro</v>
      </c>
      <c r="K206" s="352"/>
      <c r="L206" s="352"/>
      <c r="M206" s="352"/>
      <c r="N206" s="352"/>
      <c r="O206" s="352"/>
      <c r="P206" s="352"/>
      <c r="Q206" s="352"/>
      <c r="R206" s="246" t="str">
        <f>IF($J198=$A$184,"K3","L")</f>
        <v>L</v>
      </c>
      <c r="S206" s="247">
        <f t="shared" si="4"/>
        <v>3.5000000000000003E-2</v>
      </c>
      <c r="U206" s="351" t="s">
        <v>72</v>
      </c>
      <c r="V206" s="351"/>
      <c r="W206" s="351"/>
      <c r="X206" s="248">
        <f>VLOOKUP(CONCATENATE(J198,"-",R206),$C$2:$G$152,3,FALSE)</f>
        <v>3.5000000000000003E-2</v>
      </c>
      <c r="Y206" s="248">
        <f>VLOOKUP(CONCATENATE(J198,"-",R206),$C$2:$G$152,4,FALSE)</f>
        <v>5.1100000000000007E-2</v>
      </c>
      <c r="Z206" s="248">
        <f>VLOOKUP(CONCATENATE(J198,"-",R206),$C$2:$G$152,5,FALSE)</f>
        <v>6.2199999999999998E-2</v>
      </c>
    </row>
    <row r="207" spans="10:26" x14ac:dyDescent="0.3">
      <c r="J207" s="352" t="s">
        <v>74</v>
      </c>
      <c r="K207" s="352"/>
      <c r="L207" s="352"/>
      <c r="M207" s="352"/>
      <c r="N207" s="352"/>
      <c r="O207" s="352"/>
      <c r="P207" s="352"/>
      <c r="Q207" s="352"/>
      <c r="R207" s="246" t="s">
        <v>75</v>
      </c>
      <c r="S207" s="247">
        <f t="shared" si="4"/>
        <v>3.6499999999999998E-2</v>
      </c>
      <c r="U207" s="351" t="s">
        <v>72</v>
      </c>
      <c r="V207" s="351"/>
      <c r="W207" s="351"/>
      <c r="X207" s="248">
        <v>3.6499999999999998E-2</v>
      </c>
      <c r="Y207" s="248">
        <v>3.6499999999999998E-2</v>
      </c>
      <c r="Z207" s="248">
        <v>3.6499999999999998E-2</v>
      </c>
    </row>
    <row r="208" spans="10:26" x14ac:dyDescent="0.3">
      <c r="J208" s="352" t="s">
        <v>76</v>
      </c>
      <c r="K208" s="352"/>
      <c r="L208" s="352"/>
      <c r="M208" s="352"/>
      <c r="N208" s="352"/>
      <c r="O208" s="352"/>
      <c r="P208" s="352"/>
      <c r="Q208" s="352"/>
      <c r="R208" s="246" t="s">
        <v>77</v>
      </c>
      <c r="S208" s="248">
        <f ca="1">IF(AND($J198&lt;&gt;$A$181,COUNTA(OFFSET(S201,1,0,6))&gt;0),$R$27*$R$26,0)</f>
        <v>2.5000000000000001E-2</v>
      </c>
      <c r="U208" s="351" t="s">
        <v>72</v>
      </c>
      <c r="V208" s="351"/>
      <c r="W208" s="351"/>
      <c r="X208" s="248">
        <v>0</v>
      </c>
      <c r="Y208" s="248">
        <v>2.5000000000000001E-2</v>
      </c>
      <c r="Z208" s="248">
        <v>0.05</v>
      </c>
    </row>
    <row r="209" spans="10:26" x14ac:dyDescent="0.3">
      <c r="J209" s="352" t="s">
        <v>78</v>
      </c>
      <c r="K209" s="352"/>
      <c r="L209" s="352"/>
      <c r="M209" s="352"/>
      <c r="N209" s="352"/>
      <c r="O209" s="352"/>
      <c r="P209" s="352"/>
      <c r="Q209" s="352"/>
      <c r="R209" s="246" t="s">
        <v>79</v>
      </c>
      <c r="S209" s="248">
        <v>0</v>
      </c>
      <c r="U209" s="351" t="s">
        <v>72</v>
      </c>
      <c r="V209" s="351"/>
      <c r="W209" s="351"/>
      <c r="X209" s="255">
        <v>0</v>
      </c>
      <c r="Y209" s="255">
        <v>4.4999999999999998E-2</v>
      </c>
      <c r="Z209" s="255">
        <v>4.4999999999999998E-2</v>
      </c>
    </row>
    <row r="210" spans="10:26" x14ac:dyDescent="0.3">
      <c r="J210" s="353" t="s">
        <v>703</v>
      </c>
      <c r="K210" s="353"/>
      <c r="L210" s="353"/>
      <c r="M210" s="353"/>
      <c r="N210" s="353"/>
      <c r="O210" s="353"/>
      <c r="P210" s="353"/>
      <c r="Q210" s="353"/>
      <c r="R210" s="249" t="s">
        <v>56</v>
      </c>
      <c r="S210" s="250">
        <f ca="1">IF($J198=$A$181,0,ROUND((((1+S202+S203+S204)*(1+S205)*(1+S206)/(1-(S207+S208)))-1),4))</f>
        <v>0.1384</v>
      </c>
      <c r="U210" s="354" t="str">
        <f ca="1">IF(OR($J$33=$A$184,$J$33=$A$181,AND(S210&gt;=X210,S210&lt;=Z210)),"OK","FORA DO INTERVALO")</f>
        <v>OK</v>
      </c>
      <c r="V210" s="354"/>
      <c r="W210" s="354"/>
      <c r="X210" s="248">
        <f>IF($J198=$A$181,0,VLOOKUP(CONCATENATE($J198,"-",$R210),$C$2:$G$152,3,FALSE))</f>
        <v>0.111</v>
      </c>
      <c r="Y210" s="248">
        <f>IF($J198=$A$181,0,VLOOKUP(CONCATENATE($J198,"-",$R210),$C$2:$G$152,4,FALSE))</f>
        <v>0.14019999999999999</v>
      </c>
      <c r="Z210" s="248">
        <f>IF($J198=$A$181,0,VLOOKUP(CONCATENATE($J198,"-",$R210),$C$2:$G$152,5,FALSE))</f>
        <v>0.16800000000000001</v>
      </c>
    </row>
    <row r="211" spans="10:26" hidden="1" x14ac:dyDescent="0.3">
      <c r="J211" s="355" t="s">
        <v>81</v>
      </c>
      <c r="K211" s="355"/>
      <c r="L211" s="355"/>
      <c r="M211" s="355"/>
      <c r="N211" s="355"/>
      <c r="O211" s="355"/>
      <c r="P211" s="355"/>
      <c r="Q211" s="355"/>
      <c r="R211" s="251" t="s">
        <v>82</v>
      </c>
      <c r="S211" s="252">
        <f ca="1">IF($J198=$A$181,0,ROUND((((1+S202+S203+S204)*(1+S205)*(1+S206)/(1-(S207+S208+S209)))-1),4))</f>
        <v>0.1384</v>
      </c>
    </row>
    <row r="213" spans="10:26" ht="15.6" x14ac:dyDescent="0.3">
      <c r="J213" s="253" t="str">
        <f ca="1">IF(U210&lt;&gt;"ok","X","")</f>
        <v/>
      </c>
      <c r="K213" s="356" t="str">
        <f ca="1">IF(U210&lt;&gt;"ok","Anexo: Relatório Técnico Circunstanciado justificando a adoção do percentual de cada parcela do BDI.","")</f>
        <v/>
      </c>
      <c r="L213" s="356"/>
      <c r="M213" s="356"/>
      <c r="N213" s="356"/>
      <c r="O213" s="356"/>
      <c r="P213" s="356"/>
      <c r="Q213" s="356"/>
      <c r="R213" s="356"/>
      <c r="S213" s="356"/>
    </row>
    <row r="215" spans="10:26" x14ac:dyDescent="0.3">
      <c r="J215" s="345" t="s">
        <v>84</v>
      </c>
      <c r="K215" s="345"/>
      <c r="L215" s="345"/>
      <c r="M215" s="345"/>
      <c r="N215" s="345"/>
      <c r="O215" s="345"/>
      <c r="P215" s="345"/>
      <c r="Q215" s="345"/>
      <c r="R215" s="345"/>
      <c r="S215" s="345"/>
    </row>
    <row r="216" spans="10:26" ht="15.6" x14ac:dyDescent="0.3">
      <c r="J216" s="65"/>
      <c r="K216" s="65"/>
      <c r="L216" s="65"/>
      <c r="M216" s="346" t="s">
        <v>85</v>
      </c>
      <c r="N216" s="347" t="str">
        <f>IF($J198=$A$184,"(1+K1+K2)*(1+K3)","(1+AC + S + R + G)*(1 + DF)*(1+L)")</f>
        <v>(1+AC + S + R + G)*(1 + DF)*(1+L)</v>
      </c>
      <c r="O216" s="347"/>
      <c r="P216" s="347"/>
      <c r="Q216" s="348" t="s">
        <v>86</v>
      </c>
      <c r="R216" s="65"/>
      <c r="S216" s="65"/>
    </row>
    <row r="217" spans="10:26" ht="15.6" x14ac:dyDescent="0.3">
      <c r="J217" s="65"/>
      <c r="K217" s="65"/>
      <c r="L217" s="65"/>
      <c r="M217" s="346"/>
      <c r="N217" s="349" t="s">
        <v>114</v>
      </c>
      <c r="O217" s="349"/>
      <c r="P217" s="349"/>
      <c r="Q217" s="348"/>
      <c r="R217" s="65"/>
      <c r="S217" s="65"/>
    </row>
    <row r="218" spans="10:26" x14ac:dyDescent="0.3">
      <c r="J218" s="254"/>
      <c r="K218" s="254"/>
      <c r="L218" s="254"/>
      <c r="M218" s="254"/>
      <c r="N218" s="254"/>
      <c r="O218" s="254"/>
      <c r="P218" s="254"/>
      <c r="Q218" s="254"/>
      <c r="R218" s="254"/>
      <c r="S218" s="254"/>
    </row>
    <row r="219" spans="10:26" ht="30" customHeight="1" x14ac:dyDescent="0.3">
      <c r="J219" s="350" t="str">
        <f>CONCATENATE("Declaro para os devidos fins que, conforme legislação tributária municipal, a base de cálculo deste tipo de obra corresponde à ",$R$26*100,"%, com a respectiva alíquota de ",$R$27*100,"%.")</f>
        <v>Declaro para os devidos fins que, conforme legislação tributária municipal, a base de cálculo deste tipo de obra corresponde à 50%, com a respectiva alíquota de 5%.</v>
      </c>
      <c r="K219" s="350"/>
      <c r="L219" s="350"/>
      <c r="M219" s="350"/>
      <c r="N219" s="350"/>
      <c r="O219" s="350"/>
      <c r="P219" s="350"/>
      <c r="Q219" s="350"/>
      <c r="R219" s="350"/>
      <c r="S219" s="350"/>
    </row>
  </sheetData>
  <mergeCells count="187">
    <mergeCell ref="J145:M145"/>
    <mergeCell ref="J136:S136"/>
    <mergeCell ref="J139:S139"/>
    <mergeCell ref="J141:M141"/>
    <mergeCell ref="P141:S141"/>
    <mergeCell ref="J142:M142"/>
    <mergeCell ref="J144:M144"/>
    <mergeCell ref="J130:S130"/>
    <mergeCell ref="M131:M132"/>
    <mergeCell ref="N131:P131"/>
    <mergeCell ref="Q131:Q132"/>
    <mergeCell ref="N132:P132"/>
    <mergeCell ref="J134:S134"/>
    <mergeCell ref="J124:Q124"/>
    <mergeCell ref="U124:W124"/>
    <mergeCell ref="J125:Q125"/>
    <mergeCell ref="U125:W125"/>
    <mergeCell ref="J126:Q126"/>
    <mergeCell ref="K128:S128"/>
    <mergeCell ref="J121:Q121"/>
    <mergeCell ref="U121:W121"/>
    <mergeCell ref="J122:Q122"/>
    <mergeCell ref="U122:W122"/>
    <mergeCell ref="J123:Q123"/>
    <mergeCell ref="U123:W123"/>
    <mergeCell ref="J118:Q118"/>
    <mergeCell ref="U118:W118"/>
    <mergeCell ref="J119:Q119"/>
    <mergeCell ref="U119:W119"/>
    <mergeCell ref="J120:Q120"/>
    <mergeCell ref="U120:W120"/>
    <mergeCell ref="U115:W116"/>
    <mergeCell ref="X115:X116"/>
    <mergeCell ref="Y115:Y116"/>
    <mergeCell ref="Z115:Z116"/>
    <mergeCell ref="J117:Q117"/>
    <mergeCell ref="U117:W117"/>
    <mergeCell ref="J105:M105"/>
    <mergeCell ref="J110:S110"/>
    <mergeCell ref="J112:S112"/>
    <mergeCell ref="J113:S113"/>
    <mergeCell ref="J115:Q116"/>
    <mergeCell ref="R115:R116"/>
    <mergeCell ref="S115:S116"/>
    <mergeCell ref="J96:S96"/>
    <mergeCell ref="J99:S99"/>
    <mergeCell ref="J101:M101"/>
    <mergeCell ref="P101:S101"/>
    <mergeCell ref="J102:M102"/>
    <mergeCell ref="J104:M104"/>
    <mergeCell ref="J90:S90"/>
    <mergeCell ref="M91:M92"/>
    <mergeCell ref="N91:P91"/>
    <mergeCell ref="Q91:Q92"/>
    <mergeCell ref="N92:P92"/>
    <mergeCell ref="J94:S94"/>
    <mergeCell ref="J84:Q84"/>
    <mergeCell ref="U84:W84"/>
    <mergeCell ref="J85:Q85"/>
    <mergeCell ref="U85:W85"/>
    <mergeCell ref="J86:Q86"/>
    <mergeCell ref="K88:S88"/>
    <mergeCell ref="J81:Q81"/>
    <mergeCell ref="U81:W81"/>
    <mergeCell ref="J82:Q82"/>
    <mergeCell ref="U82:W82"/>
    <mergeCell ref="J83:Q83"/>
    <mergeCell ref="U83:W83"/>
    <mergeCell ref="J78:Q78"/>
    <mergeCell ref="U78:W78"/>
    <mergeCell ref="J79:Q79"/>
    <mergeCell ref="U79:W79"/>
    <mergeCell ref="J80:Q80"/>
    <mergeCell ref="U80:W80"/>
    <mergeCell ref="U75:W76"/>
    <mergeCell ref="X75:X76"/>
    <mergeCell ref="Y75:Y76"/>
    <mergeCell ref="J77:Q77"/>
    <mergeCell ref="U77:W77"/>
    <mergeCell ref="U40:W40"/>
    <mergeCell ref="J50:S50"/>
    <mergeCell ref="M51:M52"/>
    <mergeCell ref="N51:P51"/>
    <mergeCell ref="Q51:Q52"/>
    <mergeCell ref="N52:P52"/>
    <mergeCell ref="J54:S54"/>
    <mergeCell ref="Z75:Z76"/>
    <mergeCell ref="U45:W45"/>
    <mergeCell ref="J46:Q46"/>
    <mergeCell ref="K48:S48"/>
    <mergeCell ref="J65:M65"/>
    <mergeCell ref="J70:S70"/>
    <mergeCell ref="J72:S72"/>
    <mergeCell ref="J73:S73"/>
    <mergeCell ref="J75:Q76"/>
    <mergeCell ref="R75:R76"/>
    <mergeCell ref="S75:S76"/>
    <mergeCell ref="J62:M62"/>
    <mergeCell ref="J64:M64"/>
    <mergeCell ref="U35:W36"/>
    <mergeCell ref="X35:X36"/>
    <mergeCell ref="Y35:Y36"/>
    <mergeCell ref="J44:Q44"/>
    <mergeCell ref="U44:W44"/>
    <mergeCell ref="Z35:Z36"/>
    <mergeCell ref="J37:Q37"/>
    <mergeCell ref="U37:W37"/>
    <mergeCell ref="J30:S30"/>
    <mergeCell ref="J32:S32"/>
    <mergeCell ref="J33:S33"/>
    <mergeCell ref="J35:Q36"/>
    <mergeCell ref="R35:R36"/>
    <mergeCell ref="S35:S36"/>
    <mergeCell ref="J41:Q41"/>
    <mergeCell ref="U41:W41"/>
    <mergeCell ref="J42:Q42"/>
    <mergeCell ref="U42:W42"/>
    <mergeCell ref="J43:Q43"/>
    <mergeCell ref="U43:W43"/>
    <mergeCell ref="U38:W38"/>
    <mergeCell ref="J39:Q39"/>
    <mergeCell ref="U39:W39"/>
    <mergeCell ref="J40:Q40"/>
    <mergeCell ref="J189:S189"/>
    <mergeCell ref="I6:I26"/>
    <mergeCell ref="J7:S7"/>
    <mergeCell ref="J8:S8"/>
    <mergeCell ref="J26:Q26"/>
    <mergeCell ref="R26:S26"/>
    <mergeCell ref="J27:Q27"/>
    <mergeCell ref="R27:S27"/>
    <mergeCell ref="R1:S1"/>
    <mergeCell ref="R2:S2"/>
    <mergeCell ref="J4:K4"/>
    <mergeCell ref="L4:M4"/>
    <mergeCell ref="N4:S4"/>
    <mergeCell ref="J5:K5"/>
    <mergeCell ref="L5:M5"/>
    <mergeCell ref="N5:S5"/>
    <mergeCell ref="J11:S11"/>
    <mergeCell ref="J24:S24"/>
    <mergeCell ref="J38:Q38"/>
    <mergeCell ref="J45:Q45"/>
    <mergeCell ref="J56:S56"/>
    <mergeCell ref="J59:S59"/>
    <mergeCell ref="J61:M61"/>
    <mergeCell ref="P61:S61"/>
    <mergeCell ref="J191:Q191"/>
    <mergeCell ref="R191:S191"/>
    <mergeCell ref="J192:Q192"/>
    <mergeCell ref="R192:S192"/>
    <mergeCell ref="J195:S195"/>
    <mergeCell ref="J197:S197"/>
    <mergeCell ref="J198:S198"/>
    <mergeCell ref="J200:Q201"/>
    <mergeCell ref="R200:R201"/>
    <mergeCell ref="S200:S201"/>
    <mergeCell ref="U200:W201"/>
    <mergeCell ref="X200:X201"/>
    <mergeCell ref="Y200:Y201"/>
    <mergeCell ref="Z200:Z201"/>
    <mergeCell ref="U202:W202"/>
    <mergeCell ref="U203:W203"/>
    <mergeCell ref="U204:W204"/>
    <mergeCell ref="U205:W205"/>
    <mergeCell ref="J206:Q206"/>
    <mergeCell ref="U206:W206"/>
    <mergeCell ref="J205:Q205"/>
    <mergeCell ref="J202:Q202"/>
    <mergeCell ref="J203:Q203"/>
    <mergeCell ref="J204:Q204"/>
    <mergeCell ref="J215:S215"/>
    <mergeCell ref="M216:M217"/>
    <mergeCell ref="N216:P216"/>
    <mergeCell ref="Q216:Q217"/>
    <mergeCell ref="N217:P217"/>
    <mergeCell ref="J219:S219"/>
    <mergeCell ref="U207:W207"/>
    <mergeCell ref="J208:Q208"/>
    <mergeCell ref="U208:W208"/>
    <mergeCell ref="J209:Q209"/>
    <mergeCell ref="U209:W209"/>
    <mergeCell ref="J210:Q210"/>
    <mergeCell ref="U210:W210"/>
    <mergeCell ref="J211:Q211"/>
    <mergeCell ref="K213:S213"/>
    <mergeCell ref="J207:Q207"/>
  </mergeCells>
  <conditionalFormatting sqref="J46:S46 J86:S86 J126:S126">
    <cfRule type="expression" dxfId="7" priority="5" stopIfTrue="1">
      <formula>DESONERACAO="não"</formula>
    </cfRule>
  </conditionalFormatting>
  <conditionalFormatting sqref="J211:S211">
    <cfRule type="expression" dxfId="6" priority="1" stopIfTrue="1">
      <formula>DESONERACAO="não"</formula>
    </cfRule>
  </conditionalFormatting>
  <conditionalFormatting sqref="S45 S85 S125">
    <cfRule type="expression" dxfId="5" priority="8" stopIfTrue="1">
      <formula>DESONERACAO="não"</formula>
    </cfRule>
  </conditionalFormatting>
  <conditionalFormatting sqref="S210">
    <cfRule type="expression" dxfId="4" priority="4" stopIfTrue="1">
      <formula>DESONERACAO="não"</formula>
    </cfRule>
  </conditionalFormatting>
  <conditionalFormatting sqref="U45:W45 U85:W85 U125:W125">
    <cfRule type="expression" dxfId="3" priority="6" stopIfTrue="1">
      <formula>AND(U45&lt;&gt;"OK",U45&lt;&gt;"-",U45&lt;&gt;"")</formula>
    </cfRule>
    <cfRule type="cellIs" dxfId="2" priority="7" stopIfTrue="1" operator="equal">
      <formula>"OK"</formula>
    </cfRule>
  </conditionalFormatting>
  <conditionalFormatting sqref="U210:W210">
    <cfRule type="expression" dxfId="1" priority="2" stopIfTrue="1">
      <formula>AND(U210&lt;&gt;"OK",U210&lt;&gt;"-",U210&lt;&gt;"")</formula>
    </cfRule>
    <cfRule type="cellIs" dxfId="0" priority="3" stopIfTrue="1" operator="equal">
      <formula>"OK"</formula>
    </cfRule>
  </conditionalFormatting>
  <dataValidations count="6">
    <dataValidation type="list" allowBlank="1" showErrorMessage="1" sqref="J33:S33 JF33:JO33 TB33:TK33 ACX33:ADG33 AMT33:ANC33 AWP33:AWY33 BGL33:BGU33 BQH33:BQQ33 CAD33:CAM33 CJZ33:CKI33 CTV33:CUE33 DDR33:DEA33 DNN33:DNW33 DXJ33:DXS33 EHF33:EHO33 ERB33:ERK33 FAX33:FBG33 FKT33:FLC33 FUP33:FUY33 GEL33:GEU33 GOH33:GOQ33 GYD33:GYM33 HHZ33:HII33 HRV33:HSE33 IBR33:ICA33 ILN33:ILW33 IVJ33:IVS33 JFF33:JFO33 JPB33:JPK33 JYX33:JZG33 KIT33:KJC33 KSP33:KSY33 LCL33:LCU33 LMH33:LMQ33 LWD33:LWM33 MFZ33:MGI33 MPV33:MQE33 MZR33:NAA33 NJN33:NJW33 NTJ33:NTS33 ODF33:ODO33 ONB33:ONK33 OWX33:OXG33 PGT33:PHC33 PQP33:PQY33 QAL33:QAU33 QKH33:QKQ33 QUD33:QUM33 RDZ33:REI33 RNV33:ROE33 RXR33:RYA33 SHN33:SHW33 SRJ33:SRS33 TBF33:TBO33 TLB33:TLK33 TUX33:TVG33 UET33:UFC33 UOP33:UOY33 UYL33:UYU33 VIH33:VIQ33 VSD33:VSM33 WBZ33:WCI33 WLV33:WME33 WVR33:WWA33 J65552:S65552 JF65552:JO65552 TB65552:TK65552 ACX65552:ADG65552 AMT65552:ANC65552 AWP65552:AWY65552 BGL65552:BGU65552 BQH65552:BQQ65552 CAD65552:CAM65552 CJZ65552:CKI65552 CTV65552:CUE65552 DDR65552:DEA65552 DNN65552:DNW65552 DXJ65552:DXS65552 EHF65552:EHO65552 ERB65552:ERK65552 FAX65552:FBG65552 FKT65552:FLC65552 FUP65552:FUY65552 GEL65552:GEU65552 GOH65552:GOQ65552 GYD65552:GYM65552 HHZ65552:HII65552 HRV65552:HSE65552 IBR65552:ICA65552 ILN65552:ILW65552 IVJ65552:IVS65552 JFF65552:JFO65552 JPB65552:JPK65552 JYX65552:JZG65552 KIT65552:KJC65552 KSP65552:KSY65552 LCL65552:LCU65552 LMH65552:LMQ65552 LWD65552:LWM65552 MFZ65552:MGI65552 MPV65552:MQE65552 MZR65552:NAA65552 NJN65552:NJW65552 NTJ65552:NTS65552 ODF65552:ODO65552 ONB65552:ONK65552 OWX65552:OXG65552 PGT65552:PHC65552 PQP65552:PQY65552 QAL65552:QAU65552 QKH65552:QKQ65552 QUD65552:QUM65552 RDZ65552:REI65552 RNV65552:ROE65552 RXR65552:RYA65552 SHN65552:SHW65552 SRJ65552:SRS65552 TBF65552:TBO65552 TLB65552:TLK65552 TUX65552:TVG65552 UET65552:UFC65552 UOP65552:UOY65552 UYL65552:UYU65552 VIH65552:VIQ65552 VSD65552:VSM65552 WBZ65552:WCI65552 WLV65552:WME65552 WVR65552:WWA65552 J131088:S131088 JF131088:JO131088 TB131088:TK131088 ACX131088:ADG131088 AMT131088:ANC131088 AWP131088:AWY131088 BGL131088:BGU131088 BQH131088:BQQ131088 CAD131088:CAM131088 CJZ131088:CKI131088 CTV131088:CUE131088 DDR131088:DEA131088 DNN131088:DNW131088 DXJ131088:DXS131088 EHF131088:EHO131088 ERB131088:ERK131088 FAX131088:FBG131088 FKT131088:FLC131088 FUP131088:FUY131088 GEL131088:GEU131088 GOH131088:GOQ131088 GYD131088:GYM131088 HHZ131088:HII131088 HRV131088:HSE131088 IBR131088:ICA131088 ILN131088:ILW131088 IVJ131088:IVS131088 JFF131088:JFO131088 JPB131088:JPK131088 JYX131088:JZG131088 KIT131088:KJC131088 KSP131088:KSY131088 LCL131088:LCU131088 LMH131088:LMQ131088 LWD131088:LWM131088 MFZ131088:MGI131088 MPV131088:MQE131088 MZR131088:NAA131088 NJN131088:NJW131088 NTJ131088:NTS131088 ODF131088:ODO131088 ONB131088:ONK131088 OWX131088:OXG131088 PGT131088:PHC131088 PQP131088:PQY131088 QAL131088:QAU131088 QKH131088:QKQ131088 QUD131088:QUM131088 RDZ131088:REI131088 RNV131088:ROE131088 RXR131088:RYA131088 SHN131088:SHW131088 SRJ131088:SRS131088 TBF131088:TBO131088 TLB131088:TLK131088 TUX131088:TVG131088 UET131088:UFC131088 UOP131088:UOY131088 UYL131088:UYU131088 VIH131088:VIQ131088 VSD131088:VSM131088 WBZ131088:WCI131088 WLV131088:WME131088 WVR131088:WWA131088 J196624:S196624 JF196624:JO196624 TB196624:TK196624 ACX196624:ADG196624 AMT196624:ANC196624 AWP196624:AWY196624 BGL196624:BGU196624 BQH196624:BQQ196624 CAD196624:CAM196624 CJZ196624:CKI196624 CTV196624:CUE196624 DDR196624:DEA196624 DNN196624:DNW196624 DXJ196624:DXS196624 EHF196624:EHO196624 ERB196624:ERK196624 FAX196624:FBG196624 FKT196624:FLC196624 FUP196624:FUY196624 GEL196624:GEU196624 GOH196624:GOQ196624 GYD196624:GYM196624 HHZ196624:HII196624 HRV196624:HSE196624 IBR196624:ICA196624 ILN196624:ILW196624 IVJ196624:IVS196624 JFF196624:JFO196624 JPB196624:JPK196624 JYX196624:JZG196624 KIT196624:KJC196624 KSP196624:KSY196624 LCL196624:LCU196624 LMH196624:LMQ196624 LWD196624:LWM196624 MFZ196624:MGI196624 MPV196624:MQE196624 MZR196624:NAA196624 NJN196624:NJW196624 NTJ196624:NTS196624 ODF196624:ODO196624 ONB196624:ONK196624 OWX196624:OXG196624 PGT196624:PHC196624 PQP196624:PQY196624 QAL196624:QAU196624 QKH196624:QKQ196624 QUD196624:QUM196624 RDZ196624:REI196624 RNV196624:ROE196624 RXR196624:RYA196624 SHN196624:SHW196624 SRJ196624:SRS196624 TBF196624:TBO196624 TLB196624:TLK196624 TUX196624:TVG196624 UET196624:UFC196624 UOP196624:UOY196624 UYL196624:UYU196624 VIH196624:VIQ196624 VSD196624:VSM196624 WBZ196624:WCI196624 WLV196624:WME196624 WVR196624:WWA196624 J262160:S262160 JF262160:JO262160 TB262160:TK262160 ACX262160:ADG262160 AMT262160:ANC262160 AWP262160:AWY262160 BGL262160:BGU262160 BQH262160:BQQ262160 CAD262160:CAM262160 CJZ262160:CKI262160 CTV262160:CUE262160 DDR262160:DEA262160 DNN262160:DNW262160 DXJ262160:DXS262160 EHF262160:EHO262160 ERB262160:ERK262160 FAX262160:FBG262160 FKT262160:FLC262160 FUP262160:FUY262160 GEL262160:GEU262160 GOH262160:GOQ262160 GYD262160:GYM262160 HHZ262160:HII262160 HRV262160:HSE262160 IBR262160:ICA262160 ILN262160:ILW262160 IVJ262160:IVS262160 JFF262160:JFO262160 JPB262160:JPK262160 JYX262160:JZG262160 KIT262160:KJC262160 KSP262160:KSY262160 LCL262160:LCU262160 LMH262160:LMQ262160 LWD262160:LWM262160 MFZ262160:MGI262160 MPV262160:MQE262160 MZR262160:NAA262160 NJN262160:NJW262160 NTJ262160:NTS262160 ODF262160:ODO262160 ONB262160:ONK262160 OWX262160:OXG262160 PGT262160:PHC262160 PQP262160:PQY262160 QAL262160:QAU262160 QKH262160:QKQ262160 QUD262160:QUM262160 RDZ262160:REI262160 RNV262160:ROE262160 RXR262160:RYA262160 SHN262160:SHW262160 SRJ262160:SRS262160 TBF262160:TBO262160 TLB262160:TLK262160 TUX262160:TVG262160 UET262160:UFC262160 UOP262160:UOY262160 UYL262160:UYU262160 VIH262160:VIQ262160 VSD262160:VSM262160 WBZ262160:WCI262160 WLV262160:WME262160 WVR262160:WWA262160 J327696:S327696 JF327696:JO327696 TB327696:TK327696 ACX327696:ADG327696 AMT327696:ANC327696 AWP327696:AWY327696 BGL327696:BGU327696 BQH327696:BQQ327696 CAD327696:CAM327696 CJZ327696:CKI327696 CTV327696:CUE327696 DDR327696:DEA327696 DNN327696:DNW327696 DXJ327696:DXS327696 EHF327696:EHO327696 ERB327696:ERK327696 FAX327696:FBG327696 FKT327696:FLC327696 FUP327696:FUY327696 GEL327696:GEU327696 GOH327696:GOQ327696 GYD327696:GYM327696 HHZ327696:HII327696 HRV327696:HSE327696 IBR327696:ICA327696 ILN327696:ILW327696 IVJ327696:IVS327696 JFF327696:JFO327696 JPB327696:JPK327696 JYX327696:JZG327696 KIT327696:KJC327696 KSP327696:KSY327696 LCL327696:LCU327696 LMH327696:LMQ327696 LWD327696:LWM327696 MFZ327696:MGI327696 MPV327696:MQE327696 MZR327696:NAA327696 NJN327696:NJW327696 NTJ327696:NTS327696 ODF327696:ODO327696 ONB327696:ONK327696 OWX327696:OXG327696 PGT327696:PHC327696 PQP327696:PQY327696 QAL327696:QAU327696 QKH327696:QKQ327696 QUD327696:QUM327696 RDZ327696:REI327696 RNV327696:ROE327696 RXR327696:RYA327696 SHN327696:SHW327696 SRJ327696:SRS327696 TBF327696:TBO327696 TLB327696:TLK327696 TUX327696:TVG327696 UET327696:UFC327696 UOP327696:UOY327696 UYL327696:UYU327696 VIH327696:VIQ327696 VSD327696:VSM327696 WBZ327696:WCI327696 WLV327696:WME327696 WVR327696:WWA327696 J393232:S393232 JF393232:JO393232 TB393232:TK393232 ACX393232:ADG393232 AMT393232:ANC393232 AWP393232:AWY393232 BGL393232:BGU393232 BQH393232:BQQ393232 CAD393232:CAM393232 CJZ393232:CKI393232 CTV393232:CUE393232 DDR393232:DEA393232 DNN393232:DNW393232 DXJ393232:DXS393232 EHF393232:EHO393232 ERB393232:ERK393232 FAX393232:FBG393232 FKT393232:FLC393232 FUP393232:FUY393232 GEL393232:GEU393232 GOH393232:GOQ393232 GYD393232:GYM393232 HHZ393232:HII393232 HRV393232:HSE393232 IBR393232:ICA393232 ILN393232:ILW393232 IVJ393232:IVS393232 JFF393232:JFO393232 JPB393232:JPK393232 JYX393232:JZG393232 KIT393232:KJC393232 KSP393232:KSY393232 LCL393232:LCU393232 LMH393232:LMQ393232 LWD393232:LWM393232 MFZ393232:MGI393232 MPV393232:MQE393232 MZR393232:NAA393232 NJN393232:NJW393232 NTJ393232:NTS393232 ODF393232:ODO393232 ONB393232:ONK393232 OWX393232:OXG393232 PGT393232:PHC393232 PQP393232:PQY393232 QAL393232:QAU393232 QKH393232:QKQ393232 QUD393232:QUM393232 RDZ393232:REI393232 RNV393232:ROE393232 RXR393232:RYA393232 SHN393232:SHW393232 SRJ393232:SRS393232 TBF393232:TBO393232 TLB393232:TLK393232 TUX393232:TVG393232 UET393232:UFC393232 UOP393232:UOY393232 UYL393232:UYU393232 VIH393232:VIQ393232 VSD393232:VSM393232 WBZ393232:WCI393232 WLV393232:WME393232 WVR393232:WWA393232 J458768:S458768 JF458768:JO458768 TB458768:TK458768 ACX458768:ADG458768 AMT458768:ANC458768 AWP458768:AWY458768 BGL458768:BGU458768 BQH458768:BQQ458768 CAD458768:CAM458768 CJZ458768:CKI458768 CTV458768:CUE458768 DDR458768:DEA458768 DNN458768:DNW458768 DXJ458768:DXS458768 EHF458768:EHO458768 ERB458768:ERK458768 FAX458768:FBG458768 FKT458768:FLC458768 FUP458768:FUY458768 GEL458768:GEU458768 GOH458768:GOQ458768 GYD458768:GYM458768 HHZ458768:HII458768 HRV458768:HSE458768 IBR458768:ICA458768 ILN458768:ILW458768 IVJ458768:IVS458768 JFF458768:JFO458768 JPB458768:JPK458768 JYX458768:JZG458768 KIT458768:KJC458768 KSP458768:KSY458768 LCL458768:LCU458768 LMH458768:LMQ458768 LWD458768:LWM458768 MFZ458768:MGI458768 MPV458768:MQE458768 MZR458768:NAA458768 NJN458768:NJW458768 NTJ458768:NTS458768 ODF458768:ODO458768 ONB458768:ONK458768 OWX458768:OXG458768 PGT458768:PHC458768 PQP458768:PQY458768 QAL458768:QAU458768 QKH458768:QKQ458768 QUD458768:QUM458768 RDZ458768:REI458768 RNV458768:ROE458768 RXR458768:RYA458768 SHN458768:SHW458768 SRJ458768:SRS458768 TBF458768:TBO458768 TLB458768:TLK458768 TUX458768:TVG458768 UET458768:UFC458768 UOP458768:UOY458768 UYL458768:UYU458768 VIH458768:VIQ458768 VSD458768:VSM458768 WBZ458768:WCI458768 WLV458768:WME458768 WVR458768:WWA458768 J524304:S524304 JF524304:JO524304 TB524304:TK524304 ACX524304:ADG524304 AMT524304:ANC524304 AWP524304:AWY524304 BGL524304:BGU524304 BQH524304:BQQ524304 CAD524304:CAM524304 CJZ524304:CKI524304 CTV524304:CUE524304 DDR524304:DEA524304 DNN524304:DNW524304 DXJ524304:DXS524304 EHF524304:EHO524304 ERB524304:ERK524304 FAX524304:FBG524304 FKT524304:FLC524304 FUP524304:FUY524304 GEL524304:GEU524304 GOH524304:GOQ524304 GYD524304:GYM524304 HHZ524304:HII524304 HRV524304:HSE524304 IBR524304:ICA524304 ILN524304:ILW524304 IVJ524304:IVS524304 JFF524304:JFO524304 JPB524304:JPK524304 JYX524304:JZG524304 KIT524304:KJC524304 KSP524304:KSY524304 LCL524304:LCU524304 LMH524304:LMQ524304 LWD524304:LWM524304 MFZ524304:MGI524304 MPV524304:MQE524304 MZR524304:NAA524304 NJN524304:NJW524304 NTJ524304:NTS524304 ODF524304:ODO524304 ONB524304:ONK524304 OWX524304:OXG524304 PGT524304:PHC524304 PQP524304:PQY524304 QAL524304:QAU524304 QKH524304:QKQ524304 QUD524304:QUM524304 RDZ524304:REI524304 RNV524304:ROE524304 RXR524304:RYA524304 SHN524304:SHW524304 SRJ524304:SRS524304 TBF524304:TBO524304 TLB524304:TLK524304 TUX524304:TVG524304 UET524304:UFC524304 UOP524304:UOY524304 UYL524304:UYU524304 VIH524304:VIQ524304 VSD524304:VSM524304 WBZ524304:WCI524304 WLV524304:WME524304 WVR524304:WWA524304 J589840:S589840 JF589840:JO589840 TB589840:TK589840 ACX589840:ADG589840 AMT589840:ANC589840 AWP589840:AWY589840 BGL589840:BGU589840 BQH589840:BQQ589840 CAD589840:CAM589840 CJZ589840:CKI589840 CTV589840:CUE589840 DDR589840:DEA589840 DNN589840:DNW589840 DXJ589840:DXS589840 EHF589840:EHO589840 ERB589840:ERK589840 FAX589840:FBG589840 FKT589840:FLC589840 FUP589840:FUY589840 GEL589840:GEU589840 GOH589840:GOQ589840 GYD589840:GYM589840 HHZ589840:HII589840 HRV589840:HSE589840 IBR589840:ICA589840 ILN589840:ILW589840 IVJ589840:IVS589840 JFF589840:JFO589840 JPB589840:JPK589840 JYX589840:JZG589840 KIT589840:KJC589840 KSP589840:KSY589840 LCL589840:LCU589840 LMH589840:LMQ589840 LWD589840:LWM589840 MFZ589840:MGI589840 MPV589840:MQE589840 MZR589840:NAA589840 NJN589840:NJW589840 NTJ589840:NTS589840 ODF589840:ODO589840 ONB589840:ONK589840 OWX589840:OXG589840 PGT589840:PHC589840 PQP589840:PQY589840 QAL589840:QAU589840 QKH589840:QKQ589840 QUD589840:QUM589840 RDZ589840:REI589840 RNV589840:ROE589840 RXR589840:RYA589840 SHN589840:SHW589840 SRJ589840:SRS589840 TBF589840:TBO589840 TLB589840:TLK589840 TUX589840:TVG589840 UET589840:UFC589840 UOP589840:UOY589840 UYL589840:UYU589840 VIH589840:VIQ589840 VSD589840:VSM589840 WBZ589840:WCI589840 WLV589840:WME589840 WVR589840:WWA589840 J655376:S655376 JF655376:JO655376 TB655376:TK655376 ACX655376:ADG655376 AMT655376:ANC655376 AWP655376:AWY655376 BGL655376:BGU655376 BQH655376:BQQ655376 CAD655376:CAM655376 CJZ655376:CKI655376 CTV655376:CUE655376 DDR655376:DEA655376 DNN655376:DNW655376 DXJ655376:DXS655376 EHF655376:EHO655376 ERB655376:ERK655376 FAX655376:FBG655376 FKT655376:FLC655376 FUP655376:FUY655376 GEL655376:GEU655376 GOH655376:GOQ655376 GYD655376:GYM655376 HHZ655376:HII655376 HRV655376:HSE655376 IBR655376:ICA655376 ILN655376:ILW655376 IVJ655376:IVS655376 JFF655376:JFO655376 JPB655376:JPK655376 JYX655376:JZG655376 KIT655376:KJC655376 KSP655376:KSY655376 LCL655376:LCU655376 LMH655376:LMQ655376 LWD655376:LWM655376 MFZ655376:MGI655376 MPV655376:MQE655376 MZR655376:NAA655376 NJN655376:NJW655376 NTJ655376:NTS655376 ODF655376:ODO655376 ONB655376:ONK655376 OWX655376:OXG655376 PGT655376:PHC655376 PQP655376:PQY655376 QAL655376:QAU655376 QKH655376:QKQ655376 QUD655376:QUM655376 RDZ655376:REI655376 RNV655376:ROE655376 RXR655376:RYA655376 SHN655376:SHW655376 SRJ655376:SRS655376 TBF655376:TBO655376 TLB655376:TLK655376 TUX655376:TVG655376 UET655376:UFC655376 UOP655376:UOY655376 UYL655376:UYU655376 VIH655376:VIQ655376 VSD655376:VSM655376 WBZ655376:WCI655376 WLV655376:WME655376 WVR655376:WWA655376 J720912:S720912 JF720912:JO720912 TB720912:TK720912 ACX720912:ADG720912 AMT720912:ANC720912 AWP720912:AWY720912 BGL720912:BGU720912 BQH720912:BQQ720912 CAD720912:CAM720912 CJZ720912:CKI720912 CTV720912:CUE720912 DDR720912:DEA720912 DNN720912:DNW720912 DXJ720912:DXS720912 EHF720912:EHO720912 ERB720912:ERK720912 FAX720912:FBG720912 FKT720912:FLC720912 FUP720912:FUY720912 GEL720912:GEU720912 GOH720912:GOQ720912 GYD720912:GYM720912 HHZ720912:HII720912 HRV720912:HSE720912 IBR720912:ICA720912 ILN720912:ILW720912 IVJ720912:IVS720912 JFF720912:JFO720912 JPB720912:JPK720912 JYX720912:JZG720912 KIT720912:KJC720912 KSP720912:KSY720912 LCL720912:LCU720912 LMH720912:LMQ720912 LWD720912:LWM720912 MFZ720912:MGI720912 MPV720912:MQE720912 MZR720912:NAA720912 NJN720912:NJW720912 NTJ720912:NTS720912 ODF720912:ODO720912 ONB720912:ONK720912 OWX720912:OXG720912 PGT720912:PHC720912 PQP720912:PQY720912 QAL720912:QAU720912 QKH720912:QKQ720912 QUD720912:QUM720912 RDZ720912:REI720912 RNV720912:ROE720912 RXR720912:RYA720912 SHN720912:SHW720912 SRJ720912:SRS720912 TBF720912:TBO720912 TLB720912:TLK720912 TUX720912:TVG720912 UET720912:UFC720912 UOP720912:UOY720912 UYL720912:UYU720912 VIH720912:VIQ720912 VSD720912:VSM720912 WBZ720912:WCI720912 WLV720912:WME720912 WVR720912:WWA720912 J786448:S786448 JF786448:JO786448 TB786448:TK786448 ACX786448:ADG786448 AMT786448:ANC786448 AWP786448:AWY786448 BGL786448:BGU786448 BQH786448:BQQ786448 CAD786448:CAM786448 CJZ786448:CKI786448 CTV786448:CUE786448 DDR786448:DEA786448 DNN786448:DNW786448 DXJ786448:DXS786448 EHF786448:EHO786448 ERB786448:ERK786448 FAX786448:FBG786448 FKT786448:FLC786448 FUP786448:FUY786448 GEL786448:GEU786448 GOH786448:GOQ786448 GYD786448:GYM786448 HHZ786448:HII786448 HRV786448:HSE786448 IBR786448:ICA786448 ILN786448:ILW786448 IVJ786448:IVS786448 JFF786448:JFO786448 JPB786448:JPK786448 JYX786448:JZG786448 KIT786448:KJC786448 KSP786448:KSY786448 LCL786448:LCU786448 LMH786448:LMQ786448 LWD786448:LWM786448 MFZ786448:MGI786448 MPV786448:MQE786448 MZR786448:NAA786448 NJN786448:NJW786448 NTJ786448:NTS786448 ODF786448:ODO786448 ONB786448:ONK786448 OWX786448:OXG786448 PGT786448:PHC786448 PQP786448:PQY786448 QAL786448:QAU786448 QKH786448:QKQ786448 QUD786448:QUM786448 RDZ786448:REI786448 RNV786448:ROE786448 RXR786448:RYA786448 SHN786448:SHW786448 SRJ786448:SRS786448 TBF786448:TBO786448 TLB786448:TLK786448 TUX786448:TVG786448 UET786448:UFC786448 UOP786448:UOY786448 UYL786448:UYU786448 VIH786448:VIQ786448 VSD786448:VSM786448 WBZ786448:WCI786448 WLV786448:WME786448 WVR786448:WWA786448 J851984:S851984 JF851984:JO851984 TB851984:TK851984 ACX851984:ADG851984 AMT851984:ANC851984 AWP851984:AWY851984 BGL851984:BGU851984 BQH851984:BQQ851984 CAD851984:CAM851984 CJZ851984:CKI851984 CTV851984:CUE851984 DDR851984:DEA851984 DNN851984:DNW851984 DXJ851984:DXS851984 EHF851984:EHO851984 ERB851984:ERK851984 FAX851984:FBG851984 FKT851984:FLC851984 FUP851984:FUY851984 GEL851984:GEU851984 GOH851984:GOQ851984 GYD851984:GYM851984 HHZ851984:HII851984 HRV851984:HSE851984 IBR851984:ICA851984 ILN851984:ILW851984 IVJ851984:IVS851984 JFF851984:JFO851984 JPB851984:JPK851984 JYX851984:JZG851984 KIT851984:KJC851984 KSP851984:KSY851984 LCL851984:LCU851984 LMH851984:LMQ851984 LWD851984:LWM851984 MFZ851984:MGI851984 MPV851984:MQE851984 MZR851984:NAA851984 NJN851984:NJW851984 NTJ851984:NTS851984 ODF851984:ODO851984 ONB851984:ONK851984 OWX851984:OXG851984 PGT851984:PHC851984 PQP851984:PQY851984 QAL851984:QAU851984 QKH851984:QKQ851984 QUD851984:QUM851984 RDZ851984:REI851984 RNV851984:ROE851984 RXR851984:RYA851984 SHN851984:SHW851984 SRJ851984:SRS851984 TBF851984:TBO851984 TLB851984:TLK851984 TUX851984:TVG851984 UET851984:UFC851984 UOP851984:UOY851984 UYL851984:UYU851984 VIH851984:VIQ851984 VSD851984:VSM851984 WBZ851984:WCI851984 WLV851984:WME851984 WVR851984:WWA851984 J917520:S917520 JF917520:JO917520 TB917520:TK917520 ACX917520:ADG917520 AMT917520:ANC917520 AWP917520:AWY917520 BGL917520:BGU917520 BQH917520:BQQ917520 CAD917520:CAM917520 CJZ917520:CKI917520 CTV917520:CUE917520 DDR917520:DEA917520 DNN917520:DNW917520 DXJ917520:DXS917520 EHF917520:EHO917520 ERB917520:ERK917520 FAX917520:FBG917520 FKT917520:FLC917520 FUP917520:FUY917520 GEL917520:GEU917520 GOH917520:GOQ917520 GYD917520:GYM917520 HHZ917520:HII917520 HRV917520:HSE917520 IBR917520:ICA917520 ILN917520:ILW917520 IVJ917520:IVS917520 JFF917520:JFO917520 JPB917520:JPK917520 JYX917520:JZG917520 KIT917520:KJC917520 KSP917520:KSY917520 LCL917520:LCU917520 LMH917520:LMQ917520 LWD917520:LWM917520 MFZ917520:MGI917520 MPV917520:MQE917520 MZR917520:NAA917520 NJN917520:NJW917520 NTJ917520:NTS917520 ODF917520:ODO917520 ONB917520:ONK917520 OWX917520:OXG917520 PGT917520:PHC917520 PQP917520:PQY917520 QAL917520:QAU917520 QKH917520:QKQ917520 QUD917520:QUM917520 RDZ917520:REI917520 RNV917520:ROE917520 RXR917520:RYA917520 SHN917520:SHW917520 SRJ917520:SRS917520 TBF917520:TBO917520 TLB917520:TLK917520 TUX917520:TVG917520 UET917520:UFC917520 UOP917520:UOY917520 UYL917520:UYU917520 VIH917520:VIQ917520 VSD917520:VSM917520 WBZ917520:WCI917520 WLV917520:WME917520 WVR917520:WWA917520 J983056:S983056 JF983056:JO983056 TB983056:TK983056 ACX983056:ADG983056 AMT983056:ANC983056 AWP983056:AWY983056 BGL983056:BGU983056 BQH983056:BQQ983056 CAD983056:CAM983056 CJZ983056:CKI983056 CTV983056:CUE983056 DDR983056:DEA983056 DNN983056:DNW983056 DXJ983056:DXS983056 EHF983056:EHO983056 ERB983056:ERK983056 FAX983056:FBG983056 FKT983056:FLC983056 FUP983056:FUY983056 GEL983056:GEU983056 GOH983056:GOQ983056 GYD983056:GYM983056 HHZ983056:HII983056 HRV983056:HSE983056 IBR983056:ICA983056 ILN983056:ILW983056 IVJ983056:IVS983056 JFF983056:JFO983056 JPB983056:JPK983056 JYX983056:JZG983056 KIT983056:KJC983056 KSP983056:KSY983056 LCL983056:LCU983056 LMH983056:LMQ983056 LWD983056:LWM983056 MFZ983056:MGI983056 MPV983056:MQE983056 MZR983056:NAA983056 NJN983056:NJW983056 NTJ983056:NTS983056 ODF983056:ODO983056 ONB983056:ONK983056 OWX983056:OXG983056 PGT983056:PHC983056 PQP983056:PQY983056 QAL983056:QAU983056 QKH983056:QKQ983056 QUD983056:QUM983056 RDZ983056:REI983056 RNV983056:ROE983056 RXR983056:RYA983056 SHN983056:SHW983056 SRJ983056:SRS983056 TBF983056:TBO983056 TLB983056:TLK983056 TUX983056:TVG983056 UET983056:UFC983056 UOP983056:UOY983056 UYL983056:UYU983056 VIH983056:VIQ983056 VSD983056:VSM983056 WBZ983056:WCI983056 WLV983056:WME983056 WVR983056:WWA983056 J73:S73 JF73:JO73 TB73:TK73 ACX73:ADG73 AMT73:ANC73 AWP73:AWY73 BGL73:BGU73 BQH73:BQQ73 CAD73:CAM73 CJZ73:CKI73 CTV73:CUE73 DDR73:DEA73 DNN73:DNW73 DXJ73:DXS73 EHF73:EHO73 ERB73:ERK73 FAX73:FBG73 FKT73:FLC73 FUP73:FUY73 GEL73:GEU73 GOH73:GOQ73 GYD73:GYM73 HHZ73:HII73 HRV73:HSE73 IBR73:ICA73 ILN73:ILW73 IVJ73:IVS73 JFF73:JFO73 JPB73:JPK73 JYX73:JZG73 KIT73:KJC73 KSP73:KSY73 LCL73:LCU73 LMH73:LMQ73 LWD73:LWM73 MFZ73:MGI73 MPV73:MQE73 MZR73:NAA73 NJN73:NJW73 NTJ73:NTS73 ODF73:ODO73 ONB73:ONK73 OWX73:OXG73 PGT73:PHC73 PQP73:PQY73 QAL73:QAU73 QKH73:QKQ73 QUD73:QUM73 RDZ73:REI73 RNV73:ROE73 RXR73:RYA73 SHN73:SHW73 SRJ73:SRS73 TBF73:TBO73 TLB73:TLK73 TUX73:TVG73 UET73:UFC73 UOP73:UOY73 UYL73:UYU73 VIH73:VIQ73 VSD73:VSM73 WBZ73:WCI73 WLV73:WME73 WVR73:WWA73 J65592:S65592 JF65592:JO65592 TB65592:TK65592 ACX65592:ADG65592 AMT65592:ANC65592 AWP65592:AWY65592 BGL65592:BGU65592 BQH65592:BQQ65592 CAD65592:CAM65592 CJZ65592:CKI65592 CTV65592:CUE65592 DDR65592:DEA65592 DNN65592:DNW65592 DXJ65592:DXS65592 EHF65592:EHO65592 ERB65592:ERK65592 FAX65592:FBG65592 FKT65592:FLC65592 FUP65592:FUY65592 GEL65592:GEU65592 GOH65592:GOQ65592 GYD65592:GYM65592 HHZ65592:HII65592 HRV65592:HSE65592 IBR65592:ICA65592 ILN65592:ILW65592 IVJ65592:IVS65592 JFF65592:JFO65592 JPB65592:JPK65592 JYX65592:JZG65592 KIT65592:KJC65592 KSP65592:KSY65592 LCL65592:LCU65592 LMH65592:LMQ65592 LWD65592:LWM65592 MFZ65592:MGI65592 MPV65592:MQE65592 MZR65592:NAA65592 NJN65592:NJW65592 NTJ65592:NTS65592 ODF65592:ODO65592 ONB65592:ONK65592 OWX65592:OXG65592 PGT65592:PHC65592 PQP65592:PQY65592 QAL65592:QAU65592 QKH65592:QKQ65592 QUD65592:QUM65592 RDZ65592:REI65592 RNV65592:ROE65592 RXR65592:RYA65592 SHN65592:SHW65592 SRJ65592:SRS65592 TBF65592:TBO65592 TLB65592:TLK65592 TUX65592:TVG65592 UET65592:UFC65592 UOP65592:UOY65592 UYL65592:UYU65592 VIH65592:VIQ65592 VSD65592:VSM65592 WBZ65592:WCI65592 WLV65592:WME65592 WVR65592:WWA65592 J131128:S131128 JF131128:JO131128 TB131128:TK131128 ACX131128:ADG131128 AMT131128:ANC131128 AWP131128:AWY131128 BGL131128:BGU131128 BQH131128:BQQ131128 CAD131128:CAM131128 CJZ131128:CKI131128 CTV131128:CUE131128 DDR131128:DEA131128 DNN131128:DNW131128 DXJ131128:DXS131128 EHF131128:EHO131128 ERB131128:ERK131128 FAX131128:FBG131128 FKT131128:FLC131128 FUP131128:FUY131128 GEL131128:GEU131128 GOH131128:GOQ131128 GYD131128:GYM131128 HHZ131128:HII131128 HRV131128:HSE131128 IBR131128:ICA131128 ILN131128:ILW131128 IVJ131128:IVS131128 JFF131128:JFO131128 JPB131128:JPK131128 JYX131128:JZG131128 KIT131128:KJC131128 KSP131128:KSY131128 LCL131128:LCU131128 LMH131128:LMQ131128 LWD131128:LWM131128 MFZ131128:MGI131128 MPV131128:MQE131128 MZR131128:NAA131128 NJN131128:NJW131128 NTJ131128:NTS131128 ODF131128:ODO131128 ONB131128:ONK131128 OWX131128:OXG131128 PGT131128:PHC131128 PQP131128:PQY131128 QAL131128:QAU131128 QKH131128:QKQ131128 QUD131128:QUM131128 RDZ131128:REI131128 RNV131128:ROE131128 RXR131128:RYA131128 SHN131128:SHW131128 SRJ131128:SRS131128 TBF131128:TBO131128 TLB131128:TLK131128 TUX131128:TVG131128 UET131128:UFC131128 UOP131128:UOY131128 UYL131128:UYU131128 VIH131128:VIQ131128 VSD131128:VSM131128 WBZ131128:WCI131128 WLV131128:WME131128 WVR131128:WWA131128 J196664:S196664 JF196664:JO196664 TB196664:TK196664 ACX196664:ADG196664 AMT196664:ANC196664 AWP196664:AWY196664 BGL196664:BGU196664 BQH196664:BQQ196664 CAD196664:CAM196664 CJZ196664:CKI196664 CTV196664:CUE196664 DDR196664:DEA196664 DNN196664:DNW196664 DXJ196664:DXS196664 EHF196664:EHO196664 ERB196664:ERK196664 FAX196664:FBG196664 FKT196664:FLC196664 FUP196664:FUY196664 GEL196664:GEU196664 GOH196664:GOQ196664 GYD196664:GYM196664 HHZ196664:HII196664 HRV196664:HSE196664 IBR196664:ICA196664 ILN196664:ILW196664 IVJ196664:IVS196664 JFF196664:JFO196664 JPB196664:JPK196664 JYX196664:JZG196664 KIT196664:KJC196664 KSP196664:KSY196664 LCL196664:LCU196664 LMH196664:LMQ196664 LWD196664:LWM196664 MFZ196664:MGI196664 MPV196664:MQE196664 MZR196664:NAA196664 NJN196664:NJW196664 NTJ196664:NTS196664 ODF196664:ODO196664 ONB196664:ONK196664 OWX196664:OXG196664 PGT196664:PHC196664 PQP196664:PQY196664 QAL196664:QAU196664 QKH196664:QKQ196664 QUD196664:QUM196664 RDZ196664:REI196664 RNV196664:ROE196664 RXR196664:RYA196664 SHN196664:SHW196664 SRJ196664:SRS196664 TBF196664:TBO196664 TLB196664:TLK196664 TUX196664:TVG196664 UET196664:UFC196664 UOP196664:UOY196664 UYL196664:UYU196664 VIH196664:VIQ196664 VSD196664:VSM196664 WBZ196664:WCI196664 WLV196664:WME196664 WVR196664:WWA196664 J262200:S262200 JF262200:JO262200 TB262200:TK262200 ACX262200:ADG262200 AMT262200:ANC262200 AWP262200:AWY262200 BGL262200:BGU262200 BQH262200:BQQ262200 CAD262200:CAM262200 CJZ262200:CKI262200 CTV262200:CUE262200 DDR262200:DEA262200 DNN262200:DNW262200 DXJ262200:DXS262200 EHF262200:EHO262200 ERB262200:ERK262200 FAX262200:FBG262200 FKT262200:FLC262200 FUP262200:FUY262200 GEL262200:GEU262200 GOH262200:GOQ262200 GYD262200:GYM262200 HHZ262200:HII262200 HRV262200:HSE262200 IBR262200:ICA262200 ILN262200:ILW262200 IVJ262200:IVS262200 JFF262200:JFO262200 JPB262200:JPK262200 JYX262200:JZG262200 KIT262200:KJC262200 KSP262200:KSY262200 LCL262200:LCU262200 LMH262200:LMQ262200 LWD262200:LWM262200 MFZ262200:MGI262200 MPV262200:MQE262200 MZR262200:NAA262200 NJN262200:NJW262200 NTJ262200:NTS262200 ODF262200:ODO262200 ONB262200:ONK262200 OWX262200:OXG262200 PGT262200:PHC262200 PQP262200:PQY262200 QAL262200:QAU262200 QKH262200:QKQ262200 QUD262200:QUM262200 RDZ262200:REI262200 RNV262200:ROE262200 RXR262200:RYA262200 SHN262200:SHW262200 SRJ262200:SRS262200 TBF262200:TBO262200 TLB262200:TLK262200 TUX262200:TVG262200 UET262200:UFC262200 UOP262200:UOY262200 UYL262200:UYU262200 VIH262200:VIQ262200 VSD262200:VSM262200 WBZ262200:WCI262200 WLV262200:WME262200 WVR262200:WWA262200 J327736:S327736 JF327736:JO327736 TB327736:TK327736 ACX327736:ADG327736 AMT327736:ANC327736 AWP327736:AWY327736 BGL327736:BGU327736 BQH327736:BQQ327736 CAD327736:CAM327736 CJZ327736:CKI327736 CTV327736:CUE327736 DDR327736:DEA327736 DNN327736:DNW327736 DXJ327736:DXS327736 EHF327736:EHO327736 ERB327736:ERK327736 FAX327736:FBG327736 FKT327736:FLC327736 FUP327736:FUY327736 GEL327736:GEU327736 GOH327736:GOQ327736 GYD327736:GYM327736 HHZ327736:HII327736 HRV327736:HSE327736 IBR327736:ICA327736 ILN327736:ILW327736 IVJ327736:IVS327736 JFF327736:JFO327736 JPB327736:JPK327736 JYX327736:JZG327736 KIT327736:KJC327736 KSP327736:KSY327736 LCL327736:LCU327736 LMH327736:LMQ327736 LWD327736:LWM327736 MFZ327736:MGI327736 MPV327736:MQE327736 MZR327736:NAA327736 NJN327736:NJW327736 NTJ327736:NTS327736 ODF327736:ODO327736 ONB327736:ONK327736 OWX327736:OXG327736 PGT327736:PHC327736 PQP327736:PQY327736 QAL327736:QAU327736 QKH327736:QKQ327736 QUD327736:QUM327736 RDZ327736:REI327736 RNV327736:ROE327736 RXR327736:RYA327736 SHN327736:SHW327736 SRJ327736:SRS327736 TBF327736:TBO327736 TLB327736:TLK327736 TUX327736:TVG327736 UET327736:UFC327736 UOP327736:UOY327736 UYL327736:UYU327736 VIH327736:VIQ327736 VSD327736:VSM327736 WBZ327736:WCI327736 WLV327736:WME327736 WVR327736:WWA327736 J393272:S393272 JF393272:JO393272 TB393272:TK393272 ACX393272:ADG393272 AMT393272:ANC393272 AWP393272:AWY393272 BGL393272:BGU393272 BQH393272:BQQ393272 CAD393272:CAM393272 CJZ393272:CKI393272 CTV393272:CUE393272 DDR393272:DEA393272 DNN393272:DNW393272 DXJ393272:DXS393272 EHF393272:EHO393272 ERB393272:ERK393272 FAX393272:FBG393272 FKT393272:FLC393272 FUP393272:FUY393272 GEL393272:GEU393272 GOH393272:GOQ393272 GYD393272:GYM393272 HHZ393272:HII393272 HRV393272:HSE393272 IBR393272:ICA393272 ILN393272:ILW393272 IVJ393272:IVS393272 JFF393272:JFO393272 JPB393272:JPK393272 JYX393272:JZG393272 KIT393272:KJC393272 KSP393272:KSY393272 LCL393272:LCU393272 LMH393272:LMQ393272 LWD393272:LWM393272 MFZ393272:MGI393272 MPV393272:MQE393272 MZR393272:NAA393272 NJN393272:NJW393272 NTJ393272:NTS393272 ODF393272:ODO393272 ONB393272:ONK393272 OWX393272:OXG393272 PGT393272:PHC393272 PQP393272:PQY393272 QAL393272:QAU393272 QKH393272:QKQ393272 QUD393272:QUM393272 RDZ393272:REI393272 RNV393272:ROE393272 RXR393272:RYA393272 SHN393272:SHW393272 SRJ393272:SRS393272 TBF393272:TBO393272 TLB393272:TLK393272 TUX393272:TVG393272 UET393272:UFC393272 UOP393272:UOY393272 UYL393272:UYU393272 VIH393272:VIQ393272 VSD393272:VSM393272 WBZ393272:WCI393272 WLV393272:WME393272 WVR393272:WWA393272 J458808:S458808 JF458808:JO458808 TB458808:TK458808 ACX458808:ADG458808 AMT458808:ANC458808 AWP458808:AWY458808 BGL458808:BGU458808 BQH458808:BQQ458808 CAD458808:CAM458808 CJZ458808:CKI458808 CTV458808:CUE458808 DDR458808:DEA458808 DNN458808:DNW458808 DXJ458808:DXS458808 EHF458808:EHO458808 ERB458808:ERK458808 FAX458808:FBG458808 FKT458808:FLC458808 FUP458808:FUY458808 GEL458808:GEU458808 GOH458808:GOQ458808 GYD458808:GYM458808 HHZ458808:HII458808 HRV458808:HSE458808 IBR458808:ICA458808 ILN458808:ILW458808 IVJ458808:IVS458808 JFF458808:JFO458808 JPB458808:JPK458808 JYX458808:JZG458808 KIT458808:KJC458808 KSP458808:KSY458808 LCL458808:LCU458808 LMH458808:LMQ458808 LWD458808:LWM458808 MFZ458808:MGI458808 MPV458808:MQE458808 MZR458808:NAA458808 NJN458808:NJW458808 NTJ458808:NTS458808 ODF458808:ODO458808 ONB458808:ONK458808 OWX458808:OXG458808 PGT458808:PHC458808 PQP458808:PQY458808 QAL458808:QAU458808 QKH458808:QKQ458808 QUD458808:QUM458808 RDZ458808:REI458808 RNV458808:ROE458808 RXR458808:RYA458808 SHN458808:SHW458808 SRJ458808:SRS458808 TBF458808:TBO458808 TLB458808:TLK458808 TUX458808:TVG458808 UET458808:UFC458808 UOP458808:UOY458808 UYL458808:UYU458808 VIH458808:VIQ458808 VSD458808:VSM458808 WBZ458808:WCI458808 WLV458808:WME458808 WVR458808:WWA458808 J524344:S524344 JF524344:JO524344 TB524344:TK524344 ACX524344:ADG524344 AMT524344:ANC524344 AWP524344:AWY524344 BGL524344:BGU524344 BQH524344:BQQ524344 CAD524344:CAM524344 CJZ524344:CKI524344 CTV524344:CUE524344 DDR524344:DEA524344 DNN524344:DNW524344 DXJ524344:DXS524344 EHF524344:EHO524344 ERB524344:ERK524344 FAX524344:FBG524344 FKT524344:FLC524344 FUP524344:FUY524344 GEL524344:GEU524344 GOH524344:GOQ524344 GYD524344:GYM524344 HHZ524344:HII524344 HRV524344:HSE524344 IBR524344:ICA524344 ILN524344:ILW524344 IVJ524344:IVS524344 JFF524344:JFO524344 JPB524344:JPK524344 JYX524344:JZG524344 KIT524344:KJC524344 KSP524344:KSY524344 LCL524344:LCU524344 LMH524344:LMQ524344 LWD524344:LWM524344 MFZ524344:MGI524344 MPV524344:MQE524344 MZR524344:NAA524344 NJN524344:NJW524344 NTJ524344:NTS524344 ODF524344:ODO524344 ONB524344:ONK524344 OWX524344:OXG524344 PGT524344:PHC524344 PQP524344:PQY524344 QAL524344:QAU524344 QKH524344:QKQ524344 QUD524344:QUM524344 RDZ524344:REI524344 RNV524344:ROE524344 RXR524344:RYA524344 SHN524344:SHW524344 SRJ524344:SRS524344 TBF524344:TBO524344 TLB524344:TLK524344 TUX524344:TVG524344 UET524344:UFC524344 UOP524344:UOY524344 UYL524344:UYU524344 VIH524344:VIQ524344 VSD524344:VSM524344 WBZ524344:WCI524344 WLV524344:WME524344 WVR524344:WWA524344 J589880:S589880 JF589880:JO589880 TB589880:TK589880 ACX589880:ADG589880 AMT589880:ANC589880 AWP589880:AWY589880 BGL589880:BGU589880 BQH589880:BQQ589880 CAD589880:CAM589880 CJZ589880:CKI589880 CTV589880:CUE589880 DDR589880:DEA589880 DNN589880:DNW589880 DXJ589880:DXS589880 EHF589880:EHO589880 ERB589880:ERK589880 FAX589880:FBG589880 FKT589880:FLC589880 FUP589880:FUY589880 GEL589880:GEU589880 GOH589880:GOQ589880 GYD589880:GYM589880 HHZ589880:HII589880 HRV589880:HSE589880 IBR589880:ICA589880 ILN589880:ILW589880 IVJ589880:IVS589880 JFF589880:JFO589880 JPB589880:JPK589880 JYX589880:JZG589880 KIT589880:KJC589880 KSP589880:KSY589880 LCL589880:LCU589880 LMH589880:LMQ589880 LWD589880:LWM589880 MFZ589880:MGI589880 MPV589880:MQE589880 MZR589880:NAA589880 NJN589880:NJW589880 NTJ589880:NTS589880 ODF589880:ODO589880 ONB589880:ONK589880 OWX589880:OXG589880 PGT589880:PHC589880 PQP589880:PQY589880 QAL589880:QAU589880 QKH589880:QKQ589880 QUD589880:QUM589880 RDZ589880:REI589880 RNV589880:ROE589880 RXR589880:RYA589880 SHN589880:SHW589880 SRJ589880:SRS589880 TBF589880:TBO589880 TLB589880:TLK589880 TUX589880:TVG589880 UET589880:UFC589880 UOP589880:UOY589880 UYL589880:UYU589880 VIH589880:VIQ589880 VSD589880:VSM589880 WBZ589880:WCI589880 WLV589880:WME589880 WVR589880:WWA589880 J655416:S655416 JF655416:JO655416 TB655416:TK655416 ACX655416:ADG655416 AMT655416:ANC655416 AWP655416:AWY655416 BGL655416:BGU655416 BQH655416:BQQ655416 CAD655416:CAM655416 CJZ655416:CKI655416 CTV655416:CUE655416 DDR655416:DEA655416 DNN655416:DNW655416 DXJ655416:DXS655416 EHF655416:EHO655416 ERB655416:ERK655416 FAX655416:FBG655416 FKT655416:FLC655416 FUP655416:FUY655416 GEL655416:GEU655416 GOH655416:GOQ655416 GYD655416:GYM655416 HHZ655416:HII655416 HRV655416:HSE655416 IBR655416:ICA655416 ILN655416:ILW655416 IVJ655416:IVS655416 JFF655416:JFO655416 JPB655416:JPK655416 JYX655416:JZG655416 KIT655416:KJC655416 KSP655416:KSY655416 LCL655416:LCU655416 LMH655416:LMQ655416 LWD655416:LWM655416 MFZ655416:MGI655416 MPV655416:MQE655416 MZR655416:NAA655416 NJN655416:NJW655416 NTJ655416:NTS655416 ODF655416:ODO655416 ONB655416:ONK655416 OWX655416:OXG655416 PGT655416:PHC655416 PQP655416:PQY655416 QAL655416:QAU655416 QKH655416:QKQ655416 QUD655416:QUM655416 RDZ655416:REI655416 RNV655416:ROE655416 RXR655416:RYA655416 SHN655416:SHW655416 SRJ655416:SRS655416 TBF655416:TBO655416 TLB655416:TLK655416 TUX655416:TVG655416 UET655416:UFC655416 UOP655416:UOY655416 UYL655416:UYU655416 VIH655416:VIQ655416 VSD655416:VSM655416 WBZ655416:WCI655416 WLV655416:WME655416 WVR655416:WWA655416 J720952:S720952 JF720952:JO720952 TB720952:TK720952 ACX720952:ADG720952 AMT720952:ANC720952 AWP720952:AWY720952 BGL720952:BGU720952 BQH720952:BQQ720952 CAD720952:CAM720952 CJZ720952:CKI720952 CTV720952:CUE720952 DDR720952:DEA720952 DNN720952:DNW720952 DXJ720952:DXS720952 EHF720952:EHO720952 ERB720952:ERK720952 FAX720952:FBG720952 FKT720952:FLC720952 FUP720952:FUY720952 GEL720952:GEU720952 GOH720952:GOQ720952 GYD720952:GYM720952 HHZ720952:HII720952 HRV720952:HSE720952 IBR720952:ICA720952 ILN720952:ILW720952 IVJ720952:IVS720952 JFF720952:JFO720952 JPB720952:JPK720952 JYX720952:JZG720952 KIT720952:KJC720952 KSP720952:KSY720952 LCL720952:LCU720952 LMH720952:LMQ720952 LWD720952:LWM720952 MFZ720952:MGI720952 MPV720952:MQE720952 MZR720952:NAA720952 NJN720952:NJW720952 NTJ720952:NTS720952 ODF720952:ODO720952 ONB720952:ONK720952 OWX720952:OXG720952 PGT720952:PHC720952 PQP720952:PQY720952 QAL720952:QAU720952 QKH720952:QKQ720952 QUD720952:QUM720952 RDZ720952:REI720952 RNV720952:ROE720952 RXR720952:RYA720952 SHN720952:SHW720952 SRJ720952:SRS720952 TBF720952:TBO720952 TLB720952:TLK720952 TUX720952:TVG720952 UET720952:UFC720952 UOP720952:UOY720952 UYL720952:UYU720952 VIH720952:VIQ720952 VSD720952:VSM720952 WBZ720952:WCI720952 WLV720952:WME720952 WVR720952:WWA720952 J786488:S786488 JF786488:JO786488 TB786488:TK786488 ACX786488:ADG786488 AMT786488:ANC786488 AWP786488:AWY786488 BGL786488:BGU786488 BQH786488:BQQ786488 CAD786488:CAM786488 CJZ786488:CKI786488 CTV786488:CUE786488 DDR786488:DEA786488 DNN786488:DNW786488 DXJ786488:DXS786488 EHF786488:EHO786488 ERB786488:ERK786488 FAX786488:FBG786488 FKT786488:FLC786488 FUP786488:FUY786488 GEL786488:GEU786488 GOH786488:GOQ786488 GYD786488:GYM786488 HHZ786488:HII786488 HRV786488:HSE786488 IBR786488:ICA786488 ILN786488:ILW786488 IVJ786488:IVS786488 JFF786488:JFO786488 JPB786488:JPK786488 JYX786488:JZG786488 KIT786488:KJC786488 KSP786488:KSY786488 LCL786488:LCU786488 LMH786488:LMQ786488 LWD786488:LWM786488 MFZ786488:MGI786488 MPV786488:MQE786488 MZR786488:NAA786488 NJN786488:NJW786488 NTJ786488:NTS786488 ODF786488:ODO786488 ONB786488:ONK786488 OWX786488:OXG786488 PGT786488:PHC786488 PQP786488:PQY786488 QAL786488:QAU786488 QKH786488:QKQ786488 QUD786488:QUM786488 RDZ786488:REI786488 RNV786488:ROE786488 RXR786488:RYA786488 SHN786488:SHW786488 SRJ786488:SRS786488 TBF786488:TBO786488 TLB786488:TLK786488 TUX786488:TVG786488 UET786488:UFC786488 UOP786488:UOY786488 UYL786488:UYU786488 VIH786488:VIQ786488 VSD786488:VSM786488 WBZ786488:WCI786488 WLV786488:WME786488 WVR786488:WWA786488 J852024:S852024 JF852024:JO852024 TB852024:TK852024 ACX852024:ADG852024 AMT852024:ANC852024 AWP852024:AWY852024 BGL852024:BGU852024 BQH852024:BQQ852024 CAD852024:CAM852024 CJZ852024:CKI852024 CTV852024:CUE852024 DDR852024:DEA852024 DNN852024:DNW852024 DXJ852024:DXS852024 EHF852024:EHO852024 ERB852024:ERK852024 FAX852024:FBG852024 FKT852024:FLC852024 FUP852024:FUY852024 GEL852024:GEU852024 GOH852024:GOQ852024 GYD852024:GYM852024 HHZ852024:HII852024 HRV852024:HSE852024 IBR852024:ICA852024 ILN852024:ILW852024 IVJ852024:IVS852024 JFF852024:JFO852024 JPB852024:JPK852024 JYX852024:JZG852024 KIT852024:KJC852024 KSP852024:KSY852024 LCL852024:LCU852024 LMH852024:LMQ852024 LWD852024:LWM852024 MFZ852024:MGI852024 MPV852024:MQE852024 MZR852024:NAA852024 NJN852024:NJW852024 NTJ852024:NTS852024 ODF852024:ODO852024 ONB852024:ONK852024 OWX852024:OXG852024 PGT852024:PHC852024 PQP852024:PQY852024 QAL852024:QAU852024 QKH852024:QKQ852024 QUD852024:QUM852024 RDZ852024:REI852024 RNV852024:ROE852024 RXR852024:RYA852024 SHN852024:SHW852024 SRJ852024:SRS852024 TBF852024:TBO852024 TLB852024:TLK852024 TUX852024:TVG852024 UET852024:UFC852024 UOP852024:UOY852024 UYL852024:UYU852024 VIH852024:VIQ852024 VSD852024:VSM852024 WBZ852024:WCI852024 WLV852024:WME852024 WVR852024:WWA852024 J917560:S917560 JF917560:JO917560 TB917560:TK917560 ACX917560:ADG917560 AMT917560:ANC917560 AWP917560:AWY917560 BGL917560:BGU917560 BQH917560:BQQ917560 CAD917560:CAM917560 CJZ917560:CKI917560 CTV917560:CUE917560 DDR917560:DEA917560 DNN917560:DNW917560 DXJ917560:DXS917560 EHF917560:EHO917560 ERB917560:ERK917560 FAX917560:FBG917560 FKT917560:FLC917560 FUP917560:FUY917560 GEL917560:GEU917560 GOH917560:GOQ917560 GYD917560:GYM917560 HHZ917560:HII917560 HRV917560:HSE917560 IBR917560:ICA917560 ILN917560:ILW917560 IVJ917560:IVS917560 JFF917560:JFO917560 JPB917560:JPK917560 JYX917560:JZG917560 KIT917560:KJC917560 KSP917560:KSY917560 LCL917560:LCU917560 LMH917560:LMQ917560 LWD917560:LWM917560 MFZ917560:MGI917560 MPV917560:MQE917560 MZR917560:NAA917560 NJN917560:NJW917560 NTJ917560:NTS917560 ODF917560:ODO917560 ONB917560:ONK917560 OWX917560:OXG917560 PGT917560:PHC917560 PQP917560:PQY917560 QAL917560:QAU917560 QKH917560:QKQ917560 QUD917560:QUM917560 RDZ917560:REI917560 RNV917560:ROE917560 RXR917560:RYA917560 SHN917560:SHW917560 SRJ917560:SRS917560 TBF917560:TBO917560 TLB917560:TLK917560 TUX917560:TVG917560 UET917560:UFC917560 UOP917560:UOY917560 UYL917560:UYU917560 VIH917560:VIQ917560 VSD917560:VSM917560 WBZ917560:WCI917560 WLV917560:WME917560 WVR917560:WWA917560 J983096:S983096 JF983096:JO983096 TB983096:TK983096 ACX983096:ADG983096 AMT983096:ANC983096 AWP983096:AWY983096 BGL983096:BGU983096 BQH983096:BQQ983096 CAD983096:CAM983096 CJZ983096:CKI983096 CTV983096:CUE983096 DDR983096:DEA983096 DNN983096:DNW983096 DXJ983096:DXS983096 EHF983096:EHO983096 ERB983096:ERK983096 FAX983096:FBG983096 FKT983096:FLC983096 FUP983096:FUY983096 GEL983096:GEU983096 GOH983096:GOQ983096 GYD983096:GYM983096 HHZ983096:HII983096 HRV983096:HSE983096 IBR983096:ICA983096 ILN983096:ILW983096 IVJ983096:IVS983096 JFF983096:JFO983096 JPB983096:JPK983096 JYX983096:JZG983096 KIT983096:KJC983096 KSP983096:KSY983096 LCL983096:LCU983096 LMH983096:LMQ983096 LWD983096:LWM983096 MFZ983096:MGI983096 MPV983096:MQE983096 MZR983096:NAA983096 NJN983096:NJW983096 NTJ983096:NTS983096 ODF983096:ODO983096 ONB983096:ONK983096 OWX983096:OXG983096 PGT983096:PHC983096 PQP983096:PQY983096 QAL983096:QAU983096 QKH983096:QKQ983096 QUD983096:QUM983096 RDZ983096:REI983096 RNV983096:ROE983096 RXR983096:RYA983096 SHN983096:SHW983096 SRJ983096:SRS983096 TBF983096:TBO983096 TLB983096:TLK983096 TUX983096:TVG983096 UET983096:UFC983096 UOP983096:UOY983096 UYL983096:UYU983096 VIH983096:VIQ983096 VSD983096:VSM983096 WBZ983096:WCI983096 WLV983096:WME983096 WVR983096:WWA983096 J113:S113 JF113:JO113 TB113:TK113 ACX113:ADG113 AMT113:ANC113 AWP113:AWY113 BGL113:BGU113 BQH113:BQQ113 CAD113:CAM113 CJZ113:CKI113 CTV113:CUE113 DDR113:DEA113 DNN113:DNW113 DXJ113:DXS113 EHF113:EHO113 ERB113:ERK113 FAX113:FBG113 FKT113:FLC113 FUP113:FUY113 GEL113:GEU113 GOH113:GOQ113 GYD113:GYM113 HHZ113:HII113 HRV113:HSE113 IBR113:ICA113 ILN113:ILW113 IVJ113:IVS113 JFF113:JFO113 JPB113:JPK113 JYX113:JZG113 KIT113:KJC113 KSP113:KSY113 LCL113:LCU113 LMH113:LMQ113 LWD113:LWM113 MFZ113:MGI113 MPV113:MQE113 MZR113:NAA113 NJN113:NJW113 NTJ113:NTS113 ODF113:ODO113 ONB113:ONK113 OWX113:OXG113 PGT113:PHC113 PQP113:PQY113 QAL113:QAU113 QKH113:QKQ113 QUD113:QUM113 RDZ113:REI113 RNV113:ROE113 RXR113:RYA113 SHN113:SHW113 SRJ113:SRS113 TBF113:TBO113 TLB113:TLK113 TUX113:TVG113 UET113:UFC113 UOP113:UOY113 UYL113:UYU113 VIH113:VIQ113 VSD113:VSM113 WBZ113:WCI113 WLV113:WME113 WVR113:WWA113 J65632:S65632 JF65632:JO65632 TB65632:TK65632 ACX65632:ADG65632 AMT65632:ANC65632 AWP65632:AWY65632 BGL65632:BGU65632 BQH65632:BQQ65632 CAD65632:CAM65632 CJZ65632:CKI65632 CTV65632:CUE65632 DDR65632:DEA65632 DNN65632:DNW65632 DXJ65632:DXS65632 EHF65632:EHO65632 ERB65632:ERK65632 FAX65632:FBG65632 FKT65632:FLC65632 FUP65632:FUY65632 GEL65632:GEU65632 GOH65632:GOQ65632 GYD65632:GYM65632 HHZ65632:HII65632 HRV65632:HSE65632 IBR65632:ICA65632 ILN65632:ILW65632 IVJ65632:IVS65632 JFF65632:JFO65632 JPB65632:JPK65632 JYX65632:JZG65632 KIT65632:KJC65632 KSP65632:KSY65632 LCL65632:LCU65632 LMH65632:LMQ65632 LWD65632:LWM65632 MFZ65632:MGI65632 MPV65632:MQE65632 MZR65632:NAA65632 NJN65632:NJW65632 NTJ65632:NTS65632 ODF65632:ODO65632 ONB65632:ONK65632 OWX65632:OXG65632 PGT65632:PHC65632 PQP65632:PQY65632 QAL65632:QAU65632 QKH65632:QKQ65632 QUD65632:QUM65632 RDZ65632:REI65632 RNV65632:ROE65632 RXR65632:RYA65632 SHN65632:SHW65632 SRJ65632:SRS65632 TBF65632:TBO65632 TLB65632:TLK65632 TUX65632:TVG65632 UET65632:UFC65632 UOP65632:UOY65632 UYL65632:UYU65632 VIH65632:VIQ65632 VSD65632:VSM65632 WBZ65632:WCI65632 WLV65632:WME65632 WVR65632:WWA65632 J131168:S131168 JF131168:JO131168 TB131168:TK131168 ACX131168:ADG131168 AMT131168:ANC131168 AWP131168:AWY131168 BGL131168:BGU131168 BQH131168:BQQ131168 CAD131168:CAM131168 CJZ131168:CKI131168 CTV131168:CUE131168 DDR131168:DEA131168 DNN131168:DNW131168 DXJ131168:DXS131168 EHF131168:EHO131168 ERB131168:ERK131168 FAX131168:FBG131168 FKT131168:FLC131168 FUP131168:FUY131168 GEL131168:GEU131168 GOH131168:GOQ131168 GYD131168:GYM131168 HHZ131168:HII131168 HRV131168:HSE131168 IBR131168:ICA131168 ILN131168:ILW131168 IVJ131168:IVS131168 JFF131168:JFO131168 JPB131168:JPK131168 JYX131168:JZG131168 KIT131168:KJC131168 KSP131168:KSY131168 LCL131168:LCU131168 LMH131168:LMQ131168 LWD131168:LWM131168 MFZ131168:MGI131168 MPV131168:MQE131168 MZR131168:NAA131168 NJN131168:NJW131168 NTJ131168:NTS131168 ODF131168:ODO131168 ONB131168:ONK131168 OWX131168:OXG131168 PGT131168:PHC131168 PQP131168:PQY131168 QAL131168:QAU131168 QKH131168:QKQ131168 QUD131168:QUM131168 RDZ131168:REI131168 RNV131168:ROE131168 RXR131168:RYA131168 SHN131168:SHW131168 SRJ131168:SRS131168 TBF131168:TBO131168 TLB131168:TLK131168 TUX131168:TVG131168 UET131168:UFC131168 UOP131168:UOY131168 UYL131168:UYU131168 VIH131168:VIQ131168 VSD131168:VSM131168 WBZ131168:WCI131168 WLV131168:WME131168 WVR131168:WWA131168 J196704:S196704 JF196704:JO196704 TB196704:TK196704 ACX196704:ADG196704 AMT196704:ANC196704 AWP196704:AWY196704 BGL196704:BGU196704 BQH196704:BQQ196704 CAD196704:CAM196704 CJZ196704:CKI196704 CTV196704:CUE196704 DDR196704:DEA196704 DNN196704:DNW196704 DXJ196704:DXS196704 EHF196704:EHO196704 ERB196704:ERK196704 FAX196704:FBG196704 FKT196704:FLC196704 FUP196704:FUY196704 GEL196704:GEU196704 GOH196704:GOQ196704 GYD196704:GYM196704 HHZ196704:HII196704 HRV196704:HSE196704 IBR196704:ICA196704 ILN196704:ILW196704 IVJ196704:IVS196704 JFF196704:JFO196704 JPB196704:JPK196704 JYX196704:JZG196704 KIT196704:KJC196704 KSP196704:KSY196704 LCL196704:LCU196704 LMH196704:LMQ196704 LWD196704:LWM196704 MFZ196704:MGI196704 MPV196704:MQE196704 MZR196704:NAA196704 NJN196704:NJW196704 NTJ196704:NTS196704 ODF196704:ODO196704 ONB196704:ONK196704 OWX196704:OXG196704 PGT196704:PHC196704 PQP196704:PQY196704 QAL196704:QAU196704 QKH196704:QKQ196704 QUD196704:QUM196704 RDZ196704:REI196704 RNV196704:ROE196704 RXR196704:RYA196704 SHN196704:SHW196704 SRJ196704:SRS196704 TBF196704:TBO196704 TLB196704:TLK196704 TUX196704:TVG196704 UET196704:UFC196704 UOP196704:UOY196704 UYL196704:UYU196704 VIH196704:VIQ196704 VSD196704:VSM196704 WBZ196704:WCI196704 WLV196704:WME196704 WVR196704:WWA196704 J262240:S262240 JF262240:JO262240 TB262240:TK262240 ACX262240:ADG262240 AMT262240:ANC262240 AWP262240:AWY262240 BGL262240:BGU262240 BQH262240:BQQ262240 CAD262240:CAM262240 CJZ262240:CKI262240 CTV262240:CUE262240 DDR262240:DEA262240 DNN262240:DNW262240 DXJ262240:DXS262240 EHF262240:EHO262240 ERB262240:ERK262240 FAX262240:FBG262240 FKT262240:FLC262240 FUP262240:FUY262240 GEL262240:GEU262240 GOH262240:GOQ262240 GYD262240:GYM262240 HHZ262240:HII262240 HRV262240:HSE262240 IBR262240:ICA262240 ILN262240:ILW262240 IVJ262240:IVS262240 JFF262240:JFO262240 JPB262240:JPK262240 JYX262240:JZG262240 KIT262240:KJC262240 KSP262240:KSY262240 LCL262240:LCU262240 LMH262240:LMQ262240 LWD262240:LWM262240 MFZ262240:MGI262240 MPV262240:MQE262240 MZR262240:NAA262240 NJN262240:NJW262240 NTJ262240:NTS262240 ODF262240:ODO262240 ONB262240:ONK262240 OWX262240:OXG262240 PGT262240:PHC262240 PQP262240:PQY262240 QAL262240:QAU262240 QKH262240:QKQ262240 QUD262240:QUM262240 RDZ262240:REI262240 RNV262240:ROE262240 RXR262240:RYA262240 SHN262240:SHW262240 SRJ262240:SRS262240 TBF262240:TBO262240 TLB262240:TLK262240 TUX262240:TVG262240 UET262240:UFC262240 UOP262240:UOY262240 UYL262240:UYU262240 VIH262240:VIQ262240 VSD262240:VSM262240 WBZ262240:WCI262240 WLV262240:WME262240 WVR262240:WWA262240 J327776:S327776 JF327776:JO327776 TB327776:TK327776 ACX327776:ADG327776 AMT327776:ANC327776 AWP327776:AWY327776 BGL327776:BGU327776 BQH327776:BQQ327776 CAD327776:CAM327776 CJZ327776:CKI327776 CTV327776:CUE327776 DDR327776:DEA327776 DNN327776:DNW327776 DXJ327776:DXS327776 EHF327776:EHO327776 ERB327776:ERK327776 FAX327776:FBG327776 FKT327776:FLC327776 FUP327776:FUY327776 GEL327776:GEU327776 GOH327776:GOQ327776 GYD327776:GYM327776 HHZ327776:HII327776 HRV327776:HSE327776 IBR327776:ICA327776 ILN327776:ILW327776 IVJ327776:IVS327776 JFF327776:JFO327776 JPB327776:JPK327776 JYX327776:JZG327776 KIT327776:KJC327776 KSP327776:KSY327776 LCL327776:LCU327776 LMH327776:LMQ327776 LWD327776:LWM327776 MFZ327776:MGI327776 MPV327776:MQE327776 MZR327776:NAA327776 NJN327776:NJW327776 NTJ327776:NTS327776 ODF327776:ODO327776 ONB327776:ONK327776 OWX327776:OXG327776 PGT327776:PHC327776 PQP327776:PQY327776 QAL327776:QAU327776 QKH327776:QKQ327776 QUD327776:QUM327776 RDZ327776:REI327776 RNV327776:ROE327776 RXR327776:RYA327776 SHN327776:SHW327776 SRJ327776:SRS327776 TBF327776:TBO327776 TLB327776:TLK327776 TUX327776:TVG327776 UET327776:UFC327776 UOP327776:UOY327776 UYL327776:UYU327776 VIH327776:VIQ327776 VSD327776:VSM327776 WBZ327776:WCI327776 WLV327776:WME327776 WVR327776:WWA327776 J393312:S393312 JF393312:JO393312 TB393312:TK393312 ACX393312:ADG393312 AMT393312:ANC393312 AWP393312:AWY393312 BGL393312:BGU393312 BQH393312:BQQ393312 CAD393312:CAM393312 CJZ393312:CKI393312 CTV393312:CUE393312 DDR393312:DEA393312 DNN393312:DNW393312 DXJ393312:DXS393312 EHF393312:EHO393312 ERB393312:ERK393312 FAX393312:FBG393312 FKT393312:FLC393312 FUP393312:FUY393312 GEL393312:GEU393312 GOH393312:GOQ393312 GYD393312:GYM393312 HHZ393312:HII393312 HRV393312:HSE393312 IBR393312:ICA393312 ILN393312:ILW393312 IVJ393312:IVS393312 JFF393312:JFO393312 JPB393312:JPK393312 JYX393312:JZG393312 KIT393312:KJC393312 KSP393312:KSY393312 LCL393312:LCU393312 LMH393312:LMQ393312 LWD393312:LWM393312 MFZ393312:MGI393312 MPV393312:MQE393312 MZR393312:NAA393312 NJN393312:NJW393312 NTJ393312:NTS393312 ODF393312:ODO393312 ONB393312:ONK393312 OWX393312:OXG393312 PGT393312:PHC393312 PQP393312:PQY393312 QAL393312:QAU393312 QKH393312:QKQ393312 QUD393312:QUM393312 RDZ393312:REI393312 RNV393312:ROE393312 RXR393312:RYA393312 SHN393312:SHW393312 SRJ393312:SRS393312 TBF393312:TBO393312 TLB393312:TLK393312 TUX393312:TVG393312 UET393312:UFC393312 UOP393312:UOY393312 UYL393312:UYU393312 VIH393312:VIQ393312 VSD393312:VSM393312 WBZ393312:WCI393312 WLV393312:WME393312 WVR393312:WWA393312 J458848:S458848 JF458848:JO458848 TB458848:TK458848 ACX458848:ADG458848 AMT458848:ANC458848 AWP458848:AWY458848 BGL458848:BGU458848 BQH458848:BQQ458848 CAD458848:CAM458848 CJZ458848:CKI458848 CTV458848:CUE458848 DDR458848:DEA458848 DNN458848:DNW458848 DXJ458848:DXS458848 EHF458848:EHO458848 ERB458848:ERK458848 FAX458848:FBG458848 FKT458848:FLC458848 FUP458848:FUY458848 GEL458848:GEU458848 GOH458848:GOQ458848 GYD458848:GYM458848 HHZ458848:HII458848 HRV458848:HSE458848 IBR458848:ICA458848 ILN458848:ILW458848 IVJ458848:IVS458848 JFF458848:JFO458848 JPB458848:JPK458848 JYX458848:JZG458848 KIT458848:KJC458848 KSP458848:KSY458848 LCL458848:LCU458848 LMH458848:LMQ458848 LWD458848:LWM458848 MFZ458848:MGI458848 MPV458848:MQE458848 MZR458848:NAA458848 NJN458848:NJW458848 NTJ458848:NTS458848 ODF458848:ODO458848 ONB458848:ONK458848 OWX458848:OXG458848 PGT458848:PHC458848 PQP458848:PQY458848 QAL458848:QAU458848 QKH458848:QKQ458848 QUD458848:QUM458848 RDZ458848:REI458848 RNV458848:ROE458848 RXR458848:RYA458848 SHN458848:SHW458848 SRJ458848:SRS458848 TBF458848:TBO458848 TLB458848:TLK458848 TUX458848:TVG458848 UET458848:UFC458848 UOP458848:UOY458848 UYL458848:UYU458848 VIH458848:VIQ458848 VSD458848:VSM458848 WBZ458848:WCI458848 WLV458848:WME458848 WVR458848:WWA458848 J524384:S524384 JF524384:JO524384 TB524384:TK524384 ACX524384:ADG524384 AMT524384:ANC524384 AWP524384:AWY524384 BGL524384:BGU524384 BQH524384:BQQ524384 CAD524384:CAM524384 CJZ524384:CKI524384 CTV524384:CUE524384 DDR524384:DEA524384 DNN524384:DNW524384 DXJ524384:DXS524384 EHF524384:EHO524384 ERB524384:ERK524384 FAX524384:FBG524384 FKT524384:FLC524384 FUP524384:FUY524384 GEL524384:GEU524384 GOH524384:GOQ524384 GYD524384:GYM524384 HHZ524384:HII524384 HRV524384:HSE524384 IBR524384:ICA524384 ILN524384:ILW524384 IVJ524384:IVS524384 JFF524384:JFO524384 JPB524384:JPK524384 JYX524384:JZG524384 KIT524384:KJC524384 KSP524384:KSY524384 LCL524384:LCU524384 LMH524384:LMQ524384 LWD524384:LWM524384 MFZ524384:MGI524384 MPV524384:MQE524384 MZR524384:NAA524384 NJN524384:NJW524384 NTJ524384:NTS524384 ODF524384:ODO524384 ONB524384:ONK524384 OWX524384:OXG524384 PGT524384:PHC524384 PQP524384:PQY524384 QAL524384:QAU524384 QKH524384:QKQ524384 QUD524384:QUM524384 RDZ524384:REI524384 RNV524384:ROE524384 RXR524384:RYA524384 SHN524384:SHW524384 SRJ524384:SRS524384 TBF524384:TBO524384 TLB524384:TLK524384 TUX524384:TVG524384 UET524384:UFC524384 UOP524384:UOY524384 UYL524384:UYU524384 VIH524384:VIQ524384 VSD524384:VSM524384 WBZ524384:WCI524384 WLV524384:WME524384 WVR524384:WWA524384 J589920:S589920 JF589920:JO589920 TB589920:TK589920 ACX589920:ADG589920 AMT589920:ANC589920 AWP589920:AWY589920 BGL589920:BGU589920 BQH589920:BQQ589920 CAD589920:CAM589920 CJZ589920:CKI589920 CTV589920:CUE589920 DDR589920:DEA589920 DNN589920:DNW589920 DXJ589920:DXS589920 EHF589920:EHO589920 ERB589920:ERK589920 FAX589920:FBG589920 FKT589920:FLC589920 FUP589920:FUY589920 GEL589920:GEU589920 GOH589920:GOQ589920 GYD589920:GYM589920 HHZ589920:HII589920 HRV589920:HSE589920 IBR589920:ICA589920 ILN589920:ILW589920 IVJ589920:IVS589920 JFF589920:JFO589920 JPB589920:JPK589920 JYX589920:JZG589920 KIT589920:KJC589920 KSP589920:KSY589920 LCL589920:LCU589920 LMH589920:LMQ589920 LWD589920:LWM589920 MFZ589920:MGI589920 MPV589920:MQE589920 MZR589920:NAA589920 NJN589920:NJW589920 NTJ589920:NTS589920 ODF589920:ODO589920 ONB589920:ONK589920 OWX589920:OXG589920 PGT589920:PHC589920 PQP589920:PQY589920 QAL589920:QAU589920 QKH589920:QKQ589920 QUD589920:QUM589920 RDZ589920:REI589920 RNV589920:ROE589920 RXR589920:RYA589920 SHN589920:SHW589920 SRJ589920:SRS589920 TBF589920:TBO589920 TLB589920:TLK589920 TUX589920:TVG589920 UET589920:UFC589920 UOP589920:UOY589920 UYL589920:UYU589920 VIH589920:VIQ589920 VSD589920:VSM589920 WBZ589920:WCI589920 WLV589920:WME589920 WVR589920:WWA589920 J655456:S655456 JF655456:JO655456 TB655456:TK655456 ACX655456:ADG655456 AMT655456:ANC655456 AWP655456:AWY655456 BGL655456:BGU655456 BQH655456:BQQ655456 CAD655456:CAM655456 CJZ655456:CKI655456 CTV655456:CUE655456 DDR655456:DEA655456 DNN655456:DNW655456 DXJ655456:DXS655456 EHF655456:EHO655456 ERB655456:ERK655456 FAX655456:FBG655456 FKT655456:FLC655456 FUP655456:FUY655456 GEL655456:GEU655456 GOH655456:GOQ655456 GYD655456:GYM655456 HHZ655456:HII655456 HRV655456:HSE655456 IBR655456:ICA655456 ILN655456:ILW655456 IVJ655456:IVS655456 JFF655456:JFO655456 JPB655456:JPK655456 JYX655456:JZG655456 KIT655456:KJC655456 KSP655456:KSY655456 LCL655456:LCU655456 LMH655456:LMQ655456 LWD655456:LWM655456 MFZ655456:MGI655456 MPV655456:MQE655456 MZR655456:NAA655456 NJN655456:NJW655456 NTJ655456:NTS655456 ODF655456:ODO655456 ONB655456:ONK655456 OWX655456:OXG655456 PGT655456:PHC655456 PQP655456:PQY655456 QAL655456:QAU655456 QKH655456:QKQ655456 QUD655456:QUM655456 RDZ655456:REI655456 RNV655456:ROE655456 RXR655456:RYA655456 SHN655456:SHW655456 SRJ655456:SRS655456 TBF655456:TBO655456 TLB655456:TLK655456 TUX655456:TVG655456 UET655456:UFC655456 UOP655456:UOY655456 UYL655456:UYU655456 VIH655456:VIQ655456 VSD655456:VSM655456 WBZ655456:WCI655456 WLV655456:WME655456 WVR655456:WWA655456 J720992:S720992 JF720992:JO720992 TB720992:TK720992 ACX720992:ADG720992 AMT720992:ANC720992 AWP720992:AWY720992 BGL720992:BGU720992 BQH720992:BQQ720992 CAD720992:CAM720992 CJZ720992:CKI720992 CTV720992:CUE720992 DDR720992:DEA720992 DNN720992:DNW720992 DXJ720992:DXS720992 EHF720992:EHO720992 ERB720992:ERK720992 FAX720992:FBG720992 FKT720992:FLC720992 FUP720992:FUY720992 GEL720992:GEU720992 GOH720992:GOQ720992 GYD720992:GYM720992 HHZ720992:HII720992 HRV720992:HSE720992 IBR720992:ICA720992 ILN720992:ILW720992 IVJ720992:IVS720992 JFF720992:JFO720992 JPB720992:JPK720992 JYX720992:JZG720992 KIT720992:KJC720992 KSP720992:KSY720992 LCL720992:LCU720992 LMH720992:LMQ720992 LWD720992:LWM720992 MFZ720992:MGI720992 MPV720992:MQE720992 MZR720992:NAA720992 NJN720992:NJW720992 NTJ720992:NTS720992 ODF720992:ODO720992 ONB720992:ONK720992 OWX720992:OXG720992 PGT720992:PHC720992 PQP720992:PQY720992 QAL720992:QAU720992 QKH720992:QKQ720992 QUD720992:QUM720992 RDZ720992:REI720992 RNV720992:ROE720992 RXR720992:RYA720992 SHN720992:SHW720992 SRJ720992:SRS720992 TBF720992:TBO720992 TLB720992:TLK720992 TUX720992:TVG720992 UET720992:UFC720992 UOP720992:UOY720992 UYL720992:UYU720992 VIH720992:VIQ720992 VSD720992:VSM720992 WBZ720992:WCI720992 WLV720992:WME720992 WVR720992:WWA720992 J786528:S786528 JF786528:JO786528 TB786528:TK786528 ACX786528:ADG786528 AMT786528:ANC786528 AWP786528:AWY786528 BGL786528:BGU786528 BQH786528:BQQ786528 CAD786528:CAM786528 CJZ786528:CKI786528 CTV786528:CUE786528 DDR786528:DEA786528 DNN786528:DNW786528 DXJ786528:DXS786528 EHF786528:EHO786528 ERB786528:ERK786528 FAX786528:FBG786528 FKT786528:FLC786528 FUP786528:FUY786528 GEL786528:GEU786528 GOH786528:GOQ786528 GYD786528:GYM786528 HHZ786528:HII786528 HRV786528:HSE786528 IBR786528:ICA786528 ILN786528:ILW786528 IVJ786528:IVS786528 JFF786528:JFO786528 JPB786528:JPK786528 JYX786528:JZG786528 KIT786528:KJC786528 KSP786528:KSY786528 LCL786528:LCU786528 LMH786528:LMQ786528 LWD786528:LWM786528 MFZ786528:MGI786528 MPV786528:MQE786528 MZR786528:NAA786528 NJN786528:NJW786528 NTJ786528:NTS786528 ODF786528:ODO786528 ONB786528:ONK786528 OWX786528:OXG786528 PGT786528:PHC786528 PQP786528:PQY786528 QAL786528:QAU786528 QKH786528:QKQ786528 QUD786528:QUM786528 RDZ786528:REI786528 RNV786528:ROE786528 RXR786528:RYA786528 SHN786528:SHW786528 SRJ786528:SRS786528 TBF786528:TBO786528 TLB786528:TLK786528 TUX786528:TVG786528 UET786528:UFC786528 UOP786528:UOY786528 UYL786528:UYU786528 VIH786528:VIQ786528 VSD786528:VSM786528 WBZ786528:WCI786528 WLV786528:WME786528 WVR786528:WWA786528 J852064:S852064 JF852064:JO852064 TB852064:TK852064 ACX852064:ADG852064 AMT852064:ANC852064 AWP852064:AWY852064 BGL852064:BGU852064 BQH852064:BQQ852064 CAD852064:CAM852064 CJZ852064:CKI852064 CTV852064:CUE852064 DDR852064:DEA852064 DNN852064:DNW852064 DXJ852064:DXS852064 EHF852064:EHO852064 ERB852064:ERK852064 FAX852064:FBG852064 FKT852064:FLC852064 FUP852064:FUY852064 GEL852064:GEU852064 GOH852064:GOQ852064 GYD852064:GYM852064 HHZ852064:HII852064 HRV852064:HSE852064 IBR852064:ICA852064 ILN852064:ILW852064 IVJ852064:IVS852064 JFF852064:JFO852064 JPB852064:JPK852064 JYX852064:JZG852064 KIT852064:KJC852064 KSP852064:KSY852064 LCL852064:LCU852064 LMH852064:LMQ852064 LWD852064:LWM852064 MFZ852064:MGI852064 MPV852064:MQE852064 MZR852064:NAA852064 NJN852064:NJW852064 NTJ852064:NTS852064 ODF852064:ODO852064 ONB852064:ONK852064 OWX852064:OXG852064 PGT852064:PHC852064 PQP852064:PQY852064 QAL852064:QAU852064 QKH852064:QKQ852064 QUD852064:QUM852064 RDZ852064:REI852064 RNV852064:ROE852064 RXR852064:RYA852064 SHN852064:SHW852064 SRJ852064:SRS852064 TBF852064:TBO852064 TLB852064:TLK852064 TUX852064:TVG852064 UET852064:UFC852064 UOP852064:UOY852064 UYL852064:UYU852064 VIH852064:VIQ852064 VSD852064:VSM852064 WBZ852064:WCI852064 WLV852064:WME852064 WVR852064:WWA852064 J917600:S917600 JF917600:JO917600 TB917600:TK917600 ACX917600:ADG917600 AMT917600:ANC917600 AWP917600:AWY917600 BGL917600:BGU917600 BQH917600:BQQ917600 CAD917600:CAM917600 CJZ917600:CKI917600 CTV917600:CUE917600 DDR917600:DEA917600 DNN917600:DNW917600 DXJ917600:DXS917600 EHF917600:EHO917600 ERB917600:ERK917600 FAX917600:FBG917600 FKT917600:FLC917600 FUP917600:FUY917600 GEL917600:GEU917600 GOH917600:GOQ917600 GYD917600:GYM917600 HHZ917600:HII917600 HRV917600:HSE917600 IBR917600:ICA917600 ILN917600:ILW917600 IVJ917600:IVS917600 JFF917600:JFO917600 JPB917600:JPK917600 JYX917600:JZG917600 KIT917600:KJC917600 KSP917600:KSY917600 LCL917600:LCU917600 LMH917600:LMQ917600 LWD917600:LWM917600 MFZ917600:MGI917600 MPV917600:MQE917600 MZR917600:NAA917600 NJN917600:NJW917600 NTJ917600:NTS917600 ODF917600:ODO917600 ONB917600:ONK917600 OWX917600:OXG917600 PGT917600:PHC917600 PQP917600:PQY917600 QAL917600:QAU917600 QKH917600:QKQ917600 QUD917600:QUM917600 RDZ917600:REI917600 RNV917600:ROE917600 RXR917600:RYA917600 SHN917600:SHW917600 SRJ917600:SRS917600 TBF917600:TBO917600 TLB917600:TLK917600 TUX917600:TVG917600 UET917600:UFC917600 UOP917600:UOY917600 UYL917600:UYU917600 VIH917600:VIQ917600 VSD917600:VSM917600 WBZ917600:WCI917600 WLV917600:WME917600 WVR917600:WWA917600 J983136:S983136 JF983136:JO983136 TB983136:TK983136 ACX983136:ADG983136 AMT983136:ANC983136 AWP983136:AWY983136 BGL983136:BGU983136 BQH983136:BQQ983136 CAD983136:CAM983136 CJZ983136:CKI983136 CTV983136:CUE983136 DDR983136:DEA983136 DNN983136:DNW983136 DXJ983136:DXS983136 EHF983136:EHO983136 ERB983136:ERK983136 FAX983136:FBG983136 FKT983136:FLC983136 FUP983136:FUY983136 GEL983136:GEU983136 GOH983136:GOQ983136 GYD983136:GYM983136 HHZ983136:HII983136 HRV983136:HSE983136 IBR983136:ICA983136 ILN983136:ILW983136 IVJ983136:IVS983136 JFF983136:JFO983136 JPB983136:JPK983136 JYX983136:JZG983136 KIT983136:KJC983136 KSP983136:KSY983136 LCL983136:LCU983136 LMH983136:LMQ983136 LWD983136:LWM983136 MFZ983136:MGI983136 MPV983136:MQE983136 MZR983136:NAA983136 NJN983136:NJW983136 NTJ983136:NTS983136 ODF983136:ODO983136 ONB983136:ONK983136 OWX983136:OXG983136 PGT983136:PHC983136 PQP983136:PQY983136 QAL983136:QAU983136 QKH983136:QKQ983136 QUD983136:QUM983136 RDZ983136:REI983136 RNV983136:ROE983136 RXR983136:RYA983136 SHN983136:SHW983136 SRJ983136:SRS983136 TBF983136:TBO983136 TLB983136:TLK983136 TUX983136:TVG983136 UET983136:UFC983136 UOP983136:UOY983136 UYL983136:UYU983136 VIH983136:VIQ983136 VSD983136:VSM983136 WBZ983136:WCI983136 WLV983136:WME983136 WVR983136:WWA983136 J198:S198" xr:uid="{00000000-0002-0000-0100-000000000000}">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45:S65545 JN65545:JO65545 TJ65545:TK65545 ADF65545:ADG65545 ANB65545:ANC65545 AWX65545:AWY65545 BGT65545:BGU65545 BQP65545:BQQ65545 CAL65545:CAM65545 CKH65545:CKI65545 CUD65545:CUE65545 DDZ65545:DEA65545 DNV65545:DNW65545 DXR65545:DXS65545 EHN65545:EHO65545 ERJ65545:ERK65545 FBF65545:FBG65545 FLB65545:FLC65545 FUX65545:FUY65545 GET65545:GEU65545 GOP65545:GOQ65545 GYL65545:GYM65545 HIH65545:HII65545 HSD65545:HSE65545 IBZ65545:ICA65545 ILV65545:ILW65545 IVR65545:IVS65545 JFN65545:JFO65545 JPJ65545:JPK65545 JZF65545:JZG65545 KJB65545:KJC65545 KSX65545:KSY65545 LCT65545:LCU65545 LMP65545:LMQ65545 LWL65545:LWM65545 MGH65545:MGI65545 MQD65545:MQE65545 MZZ65545:NAA65545 NJV65545:NJW65545 NTR65545:NTS65545 ODN65545:ODO65545 ONJ65545:ONK65545 OXF65545:OXG65545 PHB65545:PHC65545 PQX65545:PQY65545 QAT65545:QAU65545 QKP65545:QKQ65545 QUL65545:QUM65545 REH65545:REI65545 ROD65545:ROE65545 RXZ65545:RYA65545 SHV65545:SHW65545 SRR65545:SRS65545 TBN65545:TBO65545 TLJ65545:TLK65545 TVF65545:TVG65545 UFB65545:UFC65545 UOX65545:UOY65545 UYT65545:UYU65545 VIP65545:VIQ65545 VSL65545:VSM65545 WCH65545:WCI65545 WMD65545:WME65545 WVZ65545:WWA65545 R131081:S131081 JN131081:JO131081 TJ131081:TK131081 ADF131081:ADG131081 ANB131081:ANC131081 AWX131081:AWY131081 BGT131081:BGU131081 BQP131081:BQQ131081 CAL131081:CAM131081 CKH131081:CKI131081 CUD131081:CUE131081 DDZ131081:DEA131081 DNV131081:DNW131081 DXR131081:DXS131081 EHN131081:EHO131081 ERJ131081:ERK131081 FBF131081:FBG131081 FLB131081:FLC131081 FUX131081:FUY131081 GET131081:GEU131081 GOP131081:GOQ131081 GYL131081:GYM131081 HIH131081:HII131081 HSD131081:HSE131081 IBZ131081:ICA131081 ILV131081:ILW131081 IVR131081:IVS131081 JFN131081:JFO131081 JPJ131081:JPK131081 JZF131081:JZG131081 KJB131081:KJC131081 KSX131081:KSY131081 LCT131081:LCU131081 LMP131081:LMQ131081 LWL131081:LWM131081 MGH131081:MGI131081 MQD131081:MQE131081 MZZ131081:NAA131081 NJV131081:NJW131081 NTR131081:NTS131081 ODN131081:ODO131081 ONJ131081:ONK131081 OXF131081:OXG131081 PHB131081:PHC131081 PQX131081:PQY131081 QAT131081:QAU131081 QKP131081:QKQ131081 QUL131081:QUM131081 REH131081:REI131081 ROD131081:ROE131081 RXZ131081:RYA131081 SHV131081:SHW131081 SRR131081:SRS131081 TBN131081:TBO131081 TLJ131081:TLK131081 TVF131081:TVG131081 UFB131081:UFC131081 UOX131081:UOY131081 UYT131081:UYU131081 VIP131081:VIQ131081 VSL131081:VSM131081 WCH131081:WCI131081 WMD131081:WME131081 WVZ131081:WWA131081 R196617:S196617 JN196617:JO196617 TJ196617:TK196617 ADF196617:ADG196617 ANB196617:ANC196617 AWX196617:AWY196617 BGT196617:BGU196617 BQP196617:BQQ196617 CAL196617:CAM196617 CKH196617:CKI196617 CUD196617:CUE196617 DDZ196617:DEA196617 DNV196617:DNW196617 DXR196617:DXS196617 EHN196617:EHO196617 ERJ196617:ERK196617 FBF196617:FBG196617 FLB196617:FLC196617 FUX196617:FUY196617 GET196617:GEU196617 GOP196617:GOQ196617 GYL196617:GYM196617 HIH196617:HII196617 HSD196617:HSE196617 IBZ196617:ICA196617 ILV196617:ILW196617 IVR196617:IVS196617 JFN196617:JFO196617 JPJ196617:JPK196617 JZF196617:JZG196617 KJB196617:KJC196617 KSX196617:KSY196617 LCT196617:LCU196617 LMP196617:LMQ196617 LWL196617:LWM196617 MGH196617:MGI196617 MQD196617:MQE196617 MZZ196617:NAA196617 NJV196617:NJW196617 NTR196617:NTS196617 ODN196617:ODO196617 ONJ196617:ONK196617 OXF196617:OXG196617 PHB196617:PHC196617 PQX196617:PQY196617 QAT196617:QAU196617 QKP196617:QKQ196617 QUL196617:QUM196617 REH196617:REI196617 ROD196617:ROE196617 RXZ196617:RYA196617 SHV196617:SHW196617 SRR196617:SRS196617 TBN196617:TBO196617 TLJ196617:TLK196617 TVF196617:TVG196617 UFB196617:UFC196617 UOX196617:UOY196617 UYT196617:UYU196617 VIP196617:VIQ196617 VSL196617:VSM196617 WCH196617:WCI196617 WMD196617:WME196617 WVZ196617:WWA196617 R262153:S262153 JN262153:JO262153 TJ262153:TK262153 ADF262153:ADG262153 ANB262153:ANC262153 AWX262153:AWY262153 BGT262153:BGU262153 BQP262153:BQQ262153 CAL262153:CAM262153 CKH262153:CKI262153 CUD262153:CUE262153 DDZ262153:DEA262153 DNV262153:DNW262153 DXR262153:DXS262153 EHN262153:EHO262153 ERJ262153:ERK262153 FBF262153:FBG262153 FLB262153:FLC262153 FUX262153:FUY262153 GET262153:GEU262153 GOP262153:GOQ262153 GYL262153:GYM262153 HIH262153:HII262153 HSD262153:HSE262153 IBZ262153:ICA262153 ILV262153:ILW262153 IVR262153:IVS262153 JFN262153:JFO262153 JPJ262153:JPK262153 JZF262153:JZG262153 KJB262153:KJC262153 KSX262153:KSY262153 LCT262153:LCU262153 LMP262153:LMQ262153 LWL262153:LWM262153 MGH262153:MGI262153 MQD262153:MQE262153 MZZ262153:NAA262153 NJV262153:NJW262153 NTR262153:NTS262153 ODN262153:ODO262153 ONJ262153:ONK262153 OXF262153:OXG262153 PHB262153:PHC262153 PQX262153:PQY262153 QAT262153:QAU262153 QKP262153:QKQ262153 QUL262153:QUM262153 REH262153:REI262153 ROD262153:ROE262153 RXZ262153:RYA262153 SHV262153:SHW262153 SRR262153:SRS262153 TBN262153:TBO262153 TLJ262153:TLK262153 TVF262153:TVG262153 UFB262153:UFC262153 UOX262153:UOY262153 UYT262153:UYU262153 VIP262153:VIQ262153 VSL262153:VSM262153 WCH262153:WCI262153 WMD262153:WME262153 WVZ262153:WWA262153 R327689:S327689 JN327689:JO327689 TJ327689:TK327689 ADF327689:ADG327689 ANB327689:ANC327689 AWX327689:AWY327689 BGT327689:BGU327689 BQP327689:BQQ327689 CAL327689:CAM327689 CKH327689:CKI327689 CUD327689:CUE327689 DDZ327689:DEA327689 DNV327689:DNW327689 DXR327689:DXS327689 EHN327689:EHO327689 ERJ327689:ERK327689 FBF327689:FBG327689 FLB327689:FLC327689 FUX327689:FUY327689 GET327689:GEU327689 GOP327689:GOQ327689 GYL327689:GYM327689 HIH327689:HII327689 HSD327689:HSE327689 IBZ327689:ICA327689 ILV327689:ILW327689 IVR327689:IVS327689 JFN327689:JFO327689 JPJ327689:JPK327689 JZF327689:JZG327689 KJB327689:KJC327689 KSX327689:KSY327689 LCT327689:LCU327689 LMP327689:LMQ327689 LWL327689:LWM327689 MGH327689:MGI327689 MQD327689:MQE327689 MZZ327689:NAA327689 NJV327689:NJW327689 NTR327689:NTS327689 ODN327689:ODO327689 ONJ327689:ONK327689 OXF327689:OXG327689 PHB327689:PHC327689 PQX327689:PQY327689 QAT327689:QAU327689 QKP327689:QKQ327689 QUL327689:QUM327689 REH327689:REI327689 ROD327689:ROE327689 RXZ327689:RYA327689 SHV327689:SHW327689 SRR327689:SRS327689 TBN327689:TBO327689 TLJ327689:TLK327689 TVF327689:TVG327689 UFB327689:UFC327689 UOX327689:UOY327689 UYT327689:UYU327689 VIP327689:VIQ327689 VSL327689:VSM327689 WCH327689:WCI327689 WMD327689:WME327689 WVZ327689:WWA327689 R393225:S393225 JN393225:JO393225 TJ393225:TK393225 ADF393225:ADG393225 ANB393225:ANC393225 AWX393225:AWY393225 BGT393225:BGU393225 BQP393225:BQQ393225 CAL393225:CAM393225 CKH393225:CKI393225 CUD393225:CUE393225 DDZ393225:DEA393225 DNV393225:DNW393225 DXR393225:DXS393225 EHN393225:EHO393225 ERJ393225:ERK393225 FBF393225:FBG393225 FLB393225:FLC393225 FUX393225:FUY393225 GET393225:GEU393225 GOP393225:GOQ393225 GYL393225:GYM393225 HIH393225:HII393225 HSD393225:HSE393225 IBZ393225:ICA393225 ILV393225:ILW393225 IVR393225:IVS393225 JFN393225:JFO393225 JPJ393225:JPK393225 JZF393225:JZG393225 KJB393225:KJC393225 KSX393225:KSY393225 LCT393225:LCU393225 LMP393225:LMQ393225 LWL393225:LWM393225 MGH393225:MGI393225 MQD393225:MQE393225 MZZ393225:NAA393225 NJV393225:NJW393225 NTR393225:NTS393225 ODN393225:ODO393225 ONJ393225:ONK393225 OXF393225:OXG393225 PHB393225:PHC393225 PQX393225:PQY393225 QAT393225:QAU393225 QKP393225:QKQ393225 QUL393225:QUM393225 REH393225:REI393225 ROD393225:ROE393225 RXZ393225:RYA393225 SHV393225:SHW393225 SRR393225:SRS393225 TBN393225:TBO393225 TLJ393225:TLK393225 TVF393225:TVG393225 UFB393225:UFC393225 UOX393225:UOY393225 UYT393225:UYU393225 VIP393225:VIQ393225 VSL393225:VSM393225 WCH393225:WCI393225 WMD393225:WME393225 WVZ393225:WWA393225 R458761:S458761 JN458761:JO458761 TJ458761:TK458761 ADF458761:ADG458761 ANB458761:ANC458761 AWX458761:AWY458761 BGT458761:BGU458761 BQP458761:BQQ458761 CAL458761:CAM458761 CKH458761:CKI458761 CUD458761:CUE458761 DDZ458761:DEA458761 DNV458761:DNW458761 DXR458761:DXS458761 EHN458761:EHO458761 ERJ458761:ERK458761 FBF458761:FBG458761 FLB458761:FLC458761 FUX458761:FUY458761 GET458761:GEU458761 GOP458761:GOQ458761 GYL458761:GYM458761 HIH458761:HII458761 HSD458761:HSE458761 IBZ458761:ICA458761 ILV458761:ILW458761 IVR458761:IVS458761 JFN458761:JFO458761 JPJ458761:JPK458761 JZF458761:JZG458761 KJB458761:KJC458761 KSX458761:KSY458761 LCT458761:LCU458761 LMP458761:LMQ458761 LWL458761:LWM458761 MGH458761:MGI458761 MQD458761:MQE458761 MZZ458761:NAA458761 NJV458761:NJW458761 NTR458761:NTS458761 ODN458761:ODO458761 ONJ458761:ONK458761 OXF458761:OXG458761 PHB458761:PHC458761 PQX458761:PQY458761 QAT458761:QAU458761 QKP458761:QKQ458761 QUL458761:QUM458761 REH458761:REI458761 ROD458761:ROE458761 RXZ458761:RYA458761 SHV458761:SHW458761 SRR458761:SRS458761 TBN458761:TBO458761 TLJ458761:TLK458761 TVF458761:TVG458761 UFB458761:UFC458761 UOX458761:UOY458761 UYT458761:UYU458761 VIP458761:VIQ458761 VSL458761:VSM458761 WCH458761:WCI458761 WMD458761:WME458761 WVZ458761:WWA458761 R524297:S524297 JN524297:JO524297 TJ524297:TK524297 ADF524297:ADG524297 ANB524297:ANC524297 AWX524297:AWY524297 BGT524297:BGU524297 BQP524297:BQQ524297 CAL524297:CAM524297 CKH524297:CKI524297 CUD524297:CUE524297 DDZ524297:DEA524297 DNV524297:DNW524297 DXR524297:DXS524297 EHN524297:EHO524297 ERJ524297:ERK524297 FBF524297:FBG524297 FLB524297:FLC524297 FUX524297:FUY524297 GET524297:GEU524297 GOP524297:GOQ524297 GYL524297:GYM524297 HIH524297:HII524297 HSD524297:HSE524297 IBZ524297:ICA524297 ILV524297:ILW524297 IVR524297:IVS524297 JFN524297:JFO524297 JPJ524297:JPK524297 JZF524297:JZG524297 KJB524297:KJC524297 KSX524297:KSY524297 LCT524297:LCU524297 LMP524297:LMQ524297 LWL524297:LWM524297 MGH524297:MGI524297 MQD524297:MQE524297 MZZ524297:NAA524297 NJV524297:NJW524297 NTR524297:NTS524297 ODN524297:ODO524297 ONJ524297:ONK524297 OXF524297:OXG524297 PHB524297:PHC524297 PQX524297:PQY524297 QAT524297:QAU524297 QKP524297:QKQ524297 QUL524297:QUM524297 REH524297:REI524297 ROD524297:ROE524297 RXZ524297:RYA524297 SHV524297:SHW524297 SRR524297:SRS524297 TBN524297:TBO524297 TLJ524297:TLK524297 TVF524297:TVG524297 UFB524297:UFC524297 UOX524297:UOY524297 UYT524297:UYU524297 VIP524297:VIQ524297 VSL524297:VSM524297 WCH524297:WCI524297 WMD524297:WME524297 WVZ524297:WWA524297 R589833:S589833 JN589833:JO589833 TJ589833:TK589833 ADF589833:ADG589833 ANB589833:ANC589833 AWX589833:AWY589833 BGT589833:BGU589833 BQP589833:BQQ589833 CAL589833:CAM589833 CKH589833:CKI589833 CUD589833:CUE589833 DDZ589833:DEA589833 DNV589833:DNW589833 DXR589833:DXS589833 EHN589833:EHO589833 ERJ589833:ERK589833 FBF589833:FBG589833 FLB589833:FLC589833 FUX589833:FUY589833 GET589833:GEU589833 GOP589833:GOQ589833 GYL589833:GYM589833 HIH589833:HII589833 HSD589833:HSE589833 IBZ589833:ICA589833 ILV589833:ILW589833 IVR589833:IVS589833 JFN589833:JFO589833 JPJ589833:JPK589833 JZF589833:JZG589833 KJB589833:KJC589833 KSX589833:KSY589833 LCT589833:LCU589833 LMP589833:LMQ589833 LWL589833:LWM589833 MGH589833:MGI589833 MQD589833:MQE589833 MZZ589833:NAA589833 NJV589833:NJW589833 NTR589833:NTS589833 ODN589833:ODO589833 ONJ589833:ONK589833 OXF589833:OXG589833 PHB589833:PHC589833 PQX589833:PQY589833 QAT589833:QAU589833 QKP589833:QKQ589833 QUL589833:QUM589833 REH589833:REI589833 ROD589833:ROE589833 RXZ589833:RYA589833 SHV589833:SHW589833 SRR589833:SRS589833 TBN589833:TBO589833 TLJ589833:TLK589833 TVF589833:TVG589833 UFB589833:UFC589833 UOX589833:UOY589833 UYT589833:UYU589833 VIP589833:VIQ589833 VSL589833:VSM589833 WCH589833:WCI589833 WMD589833:WME589833 WVZ589833:WWA589833 R655369:S655369 JN655369:JO655369 TJ655369:TK655369 ADF655369:ADG655369 ANB655369:ANC655369 AWX655369:AWY655369 BGT655369:BGU655369 BQP655369:BQQ655369 CAL655369:CAM655369 CKH655369:CKI655369 CUD655369:CUE655369 DDZ655369:DEA655369 DNV655369:DNW655369 DXR655369:DXS655369 EHN655369:EHO655369 ERJ655369:ERK655369 FBF655369:FBG655369 FLB655369:FLC655369 FUX655369:FUY655369 GET655369:GEU655369 GOP655369:GOQ655369 GYL655369:GYM655369 HIH655369:HII655369 HSD655369:HSE655369 IBZ655369:ICA655369 ILV655369:ILW655369 IVR655369:IVS655369 JFN655369:JFO655369 JPJ655369:JPK655369 JZF655369:JZG655369 KJB655369:KJC655369 KSX655369:KSY655369 LCT655369:LCU655369 LMP655369:LMQ655369 LWL655369:LWM655369 MGH655369:MGI655369 MQD655369:MQE655369 MZZ655369:NAA655369 NJV655369:NJW655369 NTR655369:NTS655369 ODN655369:ODO655369 ONJ655369:ONK655369 OXF655369:OXG655369 PHB655369:PHC655369 PQX655369:PQY655369 QAT655369:QAU655369 QKP655369:QKQ655369 QUL655369:QUM655369 REH655369:REI655369 ROD655369:ROE655369 RXZ655369:RYA655369 SHV655369:SHW655369 SRR655369:SRS655369 TBN655369:TBO655369 TLJ655369:TLK655369 TVF655369:TVG655369 UFB655369:UFC655369 UOX655369:UOY655369 UYT655369:UYU655369 VIP655369:VIQ655369 VSL655369:VSM655369 WCH655369:WCI655369 WMD655369:WME655369 WVZ655369:WWA655369 R720905:S720905 JN720905:JO720905 TJ720905:TK720905 ADF720905:ADG720905 ANB720905:ANC720905 AWX720905:AWY720905 BGT720905:BGU720905 BQP720905:BQQ720905 CAL720905:CAM720905 CKH720905:CKI720905 CUD720905:CUE720905 DDZ720905:DEA720905 DNV720905:DNW720905 DXR720905:DXS720905 EHN720905:EHO720905 ERJ720905:ERK720905 FBF720905:FBG720905 FLB720905:FLC720905 FUX720905:FUY720905 GET720905:GEU720905 GOP720905:GOQ720905 GYL720905:GYM720905 HIH720905:HII720905 HSD720905:HSE720905 IBZ720905:ICA720905 ILV720905:ILW720905 IVR720905:IVS720905 JFN720905:JFO720905 JPJ720905:JPK720905 JZF720905:JZG720905 KJB720905:KJC720905 KSX720905:KSY720905 LCT720905:LCU720905 LMP720905:LMQ720905 LWL720905:LWM720905 MGH720905:MGI720905 MQD720905:MQE720905 MZZ720905:NAA720905 NJV720905:NJW720905 NTR720905:NTS720905 ODN720905:ODO720905 ONJ720905:ONK720905 OXF720905:OXG720905 PHB720905:PHC720905 PQX720905:PQY720905 QAT720905:QAU720905 QKP720905:QKQ720905 QUL720905:QUM720905 REH720905:REI720905 ROD720905:ROE720905 RXZ720905:RYA720905 SHV720905:SHW720905 SRR720905:SRS720905 TBN720905:TBO720905 TLJ720905:TLK720905 TVF720905:TVG720905 UFB720905:UFC720905 UOX720905:UOY720905 UYT720905:UYU720905 VIP720905:VIQ720905 VSL720905:VSM720905 WCH720905:WCI720905 WMD720905:WME720905 WVZ720905:WWA720905 R786441:S786441 JN786441:JO786441 TJ786441:TK786441 ADF786441:ADG786441 ANB786441:ANC786441 AWX786441:AWY786441 BGT786441:BGU786441 BQP786441:BQQ786441 CAL786441:CAM786441 CKH786441:CKI786441 CUD786441:CUE786441 DDZ786441:DEA786441 DNV786441:DNW786441 DXR786441:DXS786441 EHN786441:EHO786441 ERJ786441:ERK786441 FBF786441:FBG786441 FLB786441:FLC786441 FUX786441:FUY786441 GET786441:GEU786441 GOP786441:GOQ786441 GYL786441:GYM786441 HIH786441:HII786441 HSD786441:HSE786441 IBZ786441:ICA786441 ILV786441:ILW786441 IVR786441:IVS786441 JFN786441:JFO786441 JPJ786441:JPK786441 JZF786441:JZG786441 KJB786441:KJC786441 KSX786441:KSY786441 LCT786441:LCU786441 LMP786441:LMQ786441 LWL786441:LWM786441 MGH786441:MGI786441 MQD786441:MQE786441 MZZ786441:NAA786441 NJV786441:NJW786441 NTR786441:NTS786441 ODN786441:ODO786441 ONJ786441:ONK786441 OXF786441:OXG786441 PHB786441:PHC786441 PQX786441:PQY786441 QAT786441:QAU786441 QKP786441:QKQ786441 QUL786441:QUM786441 REH786441:REI786441 ROD786441:ROE786441 RXZ786441:RYA786441 SHV786441:SHW786441 SRR786441:SRS786441 TBN786441:TBO786441 TLJ786441:TLK786441 TVF786441:TVG786441 UFB786441:UFC786441 UOX786441:UOY786441 UYT786441:UYU786441 VIP786441:VIQ786441 VSL786441:VSM786441 WCH786441:WCI786441 WMD786441:WME786441 WVZ786441:WWA786441 R851977:S851977 JN851977:JO851977 TJ851977:TK851977 ADF851977:ADG851977 ANB851977:ANC851977 AWX851977:AWY851977 BGT851977:BGU851977 BQP851977:BQQ851977 CAL851977:CAM851977 CKH851977:CKI851977 CUD851977:CUE851977 DDZ851977:DEA851977 DNV851977:DNW851977 DXR851977:DXS851977 EHN851977:EHO851977 ERJ851977:ERK851977 FBF851977:FBG851977 FLB851977:FLC851977 FUX851977:FUY851977 GET851977:GEU851977 GOP851977:GOQ851977 GYL851977:GYM851977 HIH851977:HII851977 HSD851977:HSE851977 IBZ851977:ICA851977 ILV851977:ILW851977 IVR851977:IVS851977 JFN851977:JFO851977 JPJ851977:JPK851977 JZF851977:JZG851977 KJB851977:KJC851977 KSX851977:KSY851977 LCT851977:LCU851977 LMP851977:LMQ851977 LWL851977:LWM851977 MGH851977:MGI851977 MQD851977:MQE851977 MZZ851977:NAA851977 NJV851977:NJW851977 NTR851977:NTS851977 ODN851977:ODO851977 ONJ851977:ONK851977 OXF851977:OXG851977 PHB851977:PHC851977 PQX851977:PQY851977 QAT851977:QAU851977 QKP851977:QKQ851977 QUL851977:QUM851977 REH851977:REI851977 ROD851977:ROE851977 RXZ851977:RYA851977 SHV851977:SHW851977 SRR851977:SRS851977 TBN851977:TBO851977 TLJ851977:TLK851977 TVF851977:TVG851977 UFB851977:UFC851977 UOX851977:UOY851977 UYT851977:UYU851977 VIP851977:VIQ851977 VSL851977:VSM851977 WCH851977:WCI851977 WMD851977:WME851977 WVZ851977:WWA851977 R917513:S917513 JN917513:JO917513 TJ917513:TK917513 ADF917513:ADG917513 ANB917513:ANC917513 AWX917513:AWY917513 BGT917513:BGU917513 BQP917513:BQQ917513 CAL917513:CAM917513 CKH917513:CKI917513 CUD917513:CUE917513 DDZ917513:DEA917513 DNV917513:DNW917513 DXR917513:DXS917513 EHN917513:EHO917513 ERJ917513:ERK917513 FBF917513:FBG917513 FLB917513:FLC917513 FUX917513:FUY917513 GET917513:GEU917513 GOP917513:GOQ917513 GYL917513:GYM917513 HIH917513:HII917513 HSD917513:HSE917513 IBZ917513:ICA917513 ILV917513:ILW917513 IVR917513:IVS917513 JFN917513:JFO917513 JPJ917513:JPK917513 JZF917513:JZG917513 KJB917513:KJC917513 KSX917513:KSY917513 LCT917513:LCU917513 LMP917513:LMQ917513 LWL917513:LWM917513 MGH917513:MGI917513 MQD917513:MQE917513 MZZ917513:NAA917513 NJV917513:NJW917513 NTR917513:NTS917513 ODN917513:ODO917513 ONJ917513:ONK917513 OXF917513:OXG917513 PHB917513:PHC917513 PQX917513:PQY917513 QAT917513:QAU917513 QKP917513:QKQ917513 QUL917513:QUM917513 REH917513:REI917513 ROD917513:ROE917513 RXZ917513:RYA917513 SHV917513:SHW917513 SRR917513:SRS917513 TBN917513:TBO917513 TLJ917513:TLK917513 TVF917513:TVG917513 UFB917513:UFC917513 UOX917513:UOY917513 UYT917513:UYU917513 VIP917513:VIQ917513 VSL917513:VSM917513 WCH917513:WCI917513 WMD917513:WME917513 WVZ917513:WWA917513 R983049:S983049 JN983049:JO983049 TJ983049:TK983049 ADF983049:ADG983049 ANB983049:ANC983049 AWX983049:AWY983049 BGT983049:BGU983049 BQP983049:BQQ983049 CAL983049:CAM983049 CKH983049:CKI983049 CUD983049:CUE983049 DDZ983049:DEA983049 DNV983049:DNW983049 DXR983049:DXS983049 EHN983049:EHO983049 ERJ983049:ERK983049 FBF983049:FBG983049 FLB983049:FLC983049 FUX983049:FUY983049 GET983049:GEU983049 GOP983049:GOQ983049 GYL983049:GYM983049 HIH983049:HII983049 HSD983049:HSE983049 IBZ983049:ICA983049 ILV983049:ILW983049 IVR983049:IVS983049 JFN983049:JFO983049 JPJ983049:JPK983049 JZF983049:JZG983049 KJB983049:KJC983049 KSX983049:KSY983049 LCT983049:LCU983049 LMP983049:LMQ983049 LWL983049:LWM983049 MGH983049:MGI983049 MQD983049:MQE983049 MZZ983049:NAA983049 NJV983049:NJW983049 NTR983049:NTS983049 ODN983049:ODO983049 ONJ983049:ONK983049 OXF983049:OXG983049 PHB983049:PHC983049 PQX983049:PQY983049 QAT983049:QAU983049 QKP983049:QKQ983049 QUL983049:QUM983049 REH983049:REI983049 ROD983049:ROE983049 RXZ983049:RYA983049 SHV983049:SHW983049 SRR983049:SRS983049 TBN983049:TBO983049 TLJ983049:TLK983049 TVF983049:TVG983049 UFB983049:UFC983049 UOX983049:UOY983049 UYT983049:UYU983049 VIP983049:VIQ983049 VSL983049:VSM983049 WCH983049:WCI983049 WMD983049:WME983049 WVZ983049:WWA983049 R191:S191" xr:uid="{00000000-0002-0000-0100-000001000000}">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R27:S27 JN27:JO27 TJ27:TK27 ADF27:ADG27 ANB27:ANC27 AWX27:AWY27 BGT27:BGU27 BQP27:BQQ27 CAL27:CAM27 CKH27:CKI27 CUD27:CUE27 DDZ27:DEA27 DNV27:DNW27 DXR27:DXS27 EHN27:EHO27 ERJ27:ERK27 FBF27:FBG27 FLB27:FLC27 FUX27:FUY27 GET27:GEU27 GOP27:GOQ27 GYL27:GYM27 HIH27:HII27 HSD27:HSE27 IBZ27:ICA27 ILV27:ILW27 IVR27:IVS27 JFN27:JFO27 JPJ27:JPK27 JZF27:JZG27 KJB27:KJC27 KSX27:KSY27 LCT27:LCU27 LMP27:LMQ27 LWL27:LWM27 MGH27:MGI27 MQD27:MQE27 MZZ27:NAA27 NJV27:NJW27 NTR27:NTS27 ODN27:ODO27 ONJ27:ONK27 OXF27:OXG27 PHB27:PHC27 PQX27:PQY27 QAT27:QAU27 QKP27:QKQ27 QUL27:QUM27 REH27:REI27 ROD27:ROE27 RXZ27:RYA27 SHV27:SHW27 SRR27:SRS27 TBN27:TBO27 TLJ27:TLK27 TVF27:TVG27 UFB27:UFC27 UOX27:UOY27 UYT27:UYU27 VIP27:VIQ27 VSL27:VSM27 WCH27:WCI27 WMD27:WME27 WVZ27:WWA27 R65546:S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R131082:S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R196618:S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R262154:S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R327690:S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R393226:S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R458762:S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R524298:S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R589834:S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R655370:S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R720906:S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R786442:S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R851978:S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R917514:S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R983050:S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R192:S192" xr:uid="{00000000-0002-0000-0100-000002000000}">
      <formula1>0</formula1>
      <formula2>0</formula2>
    </dataValidation>
    <dataValidation operator="greaterThanOrEqual" allowBlank="1" showErrorMessage="1" errorTitle="Erro de valores" error="Digite um valor igual a 0% ou 2%." sqref="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8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S209" xr:uid="{00000000-0002-0000-0100-000003000000}">
      <formula1>0</formula1>
      <formula2>0</formula2>
    </dataValidation>
    <dataValidation type="decimal" allowBlank="1" showErrorMessage="1" errorTitle="Erro de valores" error="Digite um valor maior do que 0." sqref="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83 JO83 TK83 ADG83 ANC83 AWY83 BGU83 BQQ83 CAM83 CKI83 CUE83 DEA83 DNW83 DXS83 EHO83 ERK83 FBG83 FLC83 FUY83 GEU83 GOQ83 GYM83 HII83 HSE83 ICA83 ILW83 IVS83 JFO83 JPK83 JZG83 KJC83 KSY83 LCU83 LMQ83 LWM83 MGI83 MQE83 NAA83 NJW83 NTS83 ODO83 ONK83 OXG83 PHC83 PQY83 QAU83 QKQ83 QUM83 REI83 ROE83 RYA83 SHW83 SRS83 TBO83 TLK83 TVG83 UFC83 UOY83 UYU83 VIQ83 VSM83 WCI83 WME83 WWA83 S65602 JO65602 TK65602 ADG65602 ANC65602 AWY65602 BGU65602 BQQ65602 CAM65602 CKI65602 CUE65602 DEA65602 DNW65602 DXS65602 EHO65602 ERK65602 FBG65602 FLC65602 FUY65602 GEU65602 GOQ65602 GYM65602 HII65602 HSE65602 ICA65602 ILW65602 IVS65602 JFO65602 JPK65602 JZG65602 KJC65602 KSY65602 LCU65602 LMQ65602 LWM65602 MGI65602 MQE65602 NAA65602 NJW65602 NTS65602 ODO65602 ONK65602 OXG65602 PHC65602 PQY65602 QAU65602 QKQ65602 QUM65602 REI65602 ROE65602 RYA65602 SHW65602 SRS65602 TBO65602 TLK65602 TVG65602 UFC65602 UOY65602 UYU65602 VIQ65602 VSM65602 WCI65602 WME65602 WWA65602 S131138 JO131138 TK131138 ADG131138 ANC131138 AWY131138 BGU131138 BQQ131138 CAM131138 CKI131138 CUE131138 DEA131138 DNW131138 DXS131138 EHO131138 ERK131138 FBG131138 FLC131138 FUY131138 GEU131138 GOQ131138 GYM131138 HII131138 HSE131138 ICA131138 ILW131138 IVS131138 JFO131138 JPK131138 JZG131138 KJC131138 KSY131138 LCU131138 LMQ131138 LWM131138 MGI131138 MQE131138 NAA131138 NJW131138 NTS131138 ODO131138 ONK131138 OXG131138 PHC131138 PQY131138 QAU131138 QKQ131138 QUM131138 REI131138 ROE131138 RYA131138 SHW131138 SRS131138 TBO131138 TLK131138 TVG131138 UFC131138 UOY131138 UYU131138 VIQ131138 VSM131138 WCI131138 WME131138 WWA131138 S196674 JO196674 TK196674 ADG196674 ANC196674 AWY196674 BGU196674 BQQ196674 CAM196674 CKI196674 CUE196674 DEA196674 DNW196674 DXS196674 EHO196674 ERK196674 FBG196674 FLC196674 FUY196674 GEU196674 GOQ196674 GYM196674 HII196674 HSE196674 ICA196674 ILW196674 IVS196674 JFO196674 JPK196674 JZG196674 KJC196674 KSY196674 LCU196674 LMQ196674 LWM196674 MGI196674 MQE196674 NAA196674 NJW196674 NTS196674 ODO196674 ONK196674 OXG196674 PHC196674 PQY196674 QAU196674 QKQ196674 QUM196674 REI196674 ROE196674 RYA196674 SHW196674 SRS196674 TBO196674 TLK196674 TVG196674 UFC196674 UOY196674 UYU196674 VIQ196674 VSM196674 WCI196674 WME196674 WWA196674 S262210 JO262210 TK262210 ADG262210 ANC262210 AWY262210 BGU262210 BQQ262210 CAM262210 CKI262210 CUE262210 DEA262210 DNW262210 DXS262210 EHO262210 ERK262210 FBG262210 FLC262210 FUY262210 GEU262210 GOQ262210 GYM262210 HII262210 HSE262210 ICA262210 ILW262210 IVS262210 JFO262210 JPK262210 JZG262210 KJC262210 KSY262210 LCU262210 LMQ262210 LWM262210 MGI262210 MQE262210 NAA262210 NJW262210 NTS262210 ODO262210 ONK262210 OXG262210 PHC262210 PQY262210 QAU262210 QKQ262210 QUM262210 REI262210 ROE262210 RYA262210 SHW262210 SRS262210 TBO262210 TLK262210 TVG262210 UFC262210 UOY262210 UYU262210 VIQ262210 VSM262210 WCI262210 WME262210 WWA262210 S327746 JO327746 TK327746 ADG327746 ANC327746 AWY327746 BGU327746 BQQ327746 CAM327746 CKI327746 CUE327746 DEA327746 DNW327746 DXS327746 EHO327746 ERK327746 FBG327746 FLC327746 FUY327746 GEU327746 GOQ327746 GYM327746 HII327746 HSE327746 ICA327746 ILW327746 IVS327746 JFO327746 JPK327746 JZG327746 KJC327746 KSY327746 LCU327746 LMQ327746 LWM327746 MGI327746 MQE327746 NAA327746 NJW327746 NTS327746 ODO327746 ONK327746 OXG327746 PHC327746 PQY327746 QAU327746 QKQ327746 QUM327746 REI327746 ROE327746 RYA327746 SHW327746 SRS327746 TBO327746 TLK327746 TVG327746 UFC327746 UOY327746 UYU327746 VIQ327746 VSM327746 WCI327746 WME327746 WWA327746 S393282 JO393282 TK393282 ADG393282 ANC393282 AWY393282 BGU393282 BQQ393282 CAM393282 CKI393282 CUE393282 DEA393282 DNW393282 DXS393282 EHO393282 ERK393282 FBG393282 FLC393282 FUY393282 GEU393282 GOQ393282 GYM393282 HII393282 HSE393282 ICA393282 ILW393282 IVS393282 JFO393282 JPK393282 JZG393282 KJC393282 KSY393282 LCU393282 LMQ393282 LWM393282 MGI393282 MQE393282 NAA393282 NJW393282 NTS393282 ODO393282 ONK393282 OXG393282 PHC393282 PQY393282 QAU393282 QKQ393282 QUM393282 REI393282 ROE393282 RYA393282 SHW393282 SRS393282 TBO393282 TLK393282 TVG393282 UFC393282 UOY393282 UYU393282 VIQ393282 VSM393282 WCI393282 WME393282 WWA393282 S458818 JO458818 TK458818 ADG458818 ANC458818 AWY458818 BGU458818 BQQ458818 CAM458818 CKI458818 CUE458818 DEA458818 DNW458818 DXS458818 EHO458818 ERK458818 FBG458818 FLC458818 FUY458818 GEU458818 GOQ458818 GYM458818 HII458818 HSE458818 ICA458818 ILW458818 IVS458818 JFO458818 JPK458818 JZG458818 KJC458818 KSY458818 LCU458818 LMQ458818 LWM458818 MGI458818 MQE458818 NAA458818 NJW458818 NTS458818 ODO458818 ONK458818 OXG458818 PHC458818 PQY458818 QAU458818 QKQ458818 QUM458818 REI458818 ROE458818 RYA458818 SHW458818 SRS458818 TBO458818 TLK458818 TVG458818 UFC458818 UOY458818 UYU458818 VIQ458818 VSM458818 WCI458818 WME458818 WWA458818 S524354 JO524354 TK524354 ADG524354 ANC524354 AWY524354 BGU524354 BQQ524354 CAM524354 CKI524354 CUE524354 DEA524354 DNW524354 DXS524354 EHO524354 ERK524354 FBG524354 FLC524354 FUY524354 GEU524354 GOQ524354 GYM524354 HII524354 HSE524354 ICA524354 ILW524354 IVS524354 JFO524354 JPK524354 JZG524354 KJC524354 KSY524354 LCU524354 LMQ524354 LWM524354 MGI524354 MQE524354 NAA524354 NJW524354 NTS524354 ODO524354 ONK524354 OXG524354 PHC524354 PQY524354 QAU524354 QKQ524354 QUM524354 REI524354 ROE524354 RYA524354 SHW524354 SRS524354 TBO524354 TLK524354 TVG524354 UFC524354 UOY524354 UYU524354 VIQ524354 VSM524354 WCI524354 WME524354 WWA524354 S589890 JO589890 TK589890 ADG589890 ANC589890 AWY589890 BGU589890 BQQ589890 CAM589890 CKI589890 CUE589890 DEA589890 DNW589890 DXS589890 EHO589890 ERK589890 FBG589890 FLC589890 FUY589890 GEU589890 GOQ589890 GYM589890 HII589890 HSE589890 ICA589890 ILW589890 IVS589890 JFO589890 JPK589890 JZG589890 KJC589890 KSY589890 LCU589890 LMQ589890 LWM589890 MGI589890 MQE589890 NAA589890 NJW589890 NTS589890 ODO589890 ONK589890 OXG589890 PHC589890 PQY589890 QAU589890 QKQ589890 QUM589890 REI589890 ROE589890 RYA589890 SHW589890 SRS589890 TBO589890 TLK589890 TVG589890 UFC589890 UOY589890 UYU589890 VIQ589890 VSM589890 WCI589890 WME589890 WWA589890 S655426 JO655426 TK655426 ADG655426 ANC655426 AWY655426 BGU655426 BQQ655426 CAM655426 CKI655426 CUE655426 DEA655426 DNW655426 DXS655426 EHO655426 ERK655426 FBG655426 FLC655426 FUY655426 GEU655426 GOQ655426 GYM655426 HII655426 HSE655426 ICA655426 ILW655426 IVS655426 JFO655426 JPK655426 JZG655426 KJC655426 KSY655426 LCU655426 LMQ655426 LWM655426 MGI655426 MQE655426 NAA655426 NJW655426 NTS655426 ODO655426 ONK655426 OXG655426 PHC655426 PQY655426 QAU655426 QKQ655426 QUM655426 REI655426 ROE655426 RYA655426 SHW655426 SRS655426 TBO655426 TLK655426 TVG655426 UFC655426 UOY655426 UYU655426 VIQ655426 VSM655426 WCI655426 WME655426 WWA655426 S720962 JO720962 TK720962 ADG720962 ANC720962 AWY720962 BGU720962 BQQ720962 CAM720962 CKI720962 CUE720962 DEA720962 DNW720962 DXS720962 EHO720962 ERK720962 FBG720962 FLC720962 FUY720962 GEU720962 GOQ720962 GYM720962 HII720962 HSE720962 ICA720962 ILW720962 IVS720962 JFO720962 JPK720962 JZG720962 KJC720962 KSY720962 LCU720962 LMQ720962 LWM720962 MGI720962 MQE720962 NAA720962 NJW720962 NTS720962 ODO720962 ONK720962 OXG720962 PHC720962 PQY720962 QAU720962 QKQ720962 QUM720962 REI720962 ROE720962 RYA720962 SHW720962 SRS720962 TBO720962 TLK720962 TVG720962 UFC720962 UOY720962 UYU720962 VIQ720962 VSM720962 WCI720962 WME720962 WWA720962 S786498 JO786498 TK786498 ADG786498 ANC786498 AWY786498 BGU786498 BQQ786498 CAM786498 CKI786498 CUE786498 DEA786498 DNW786498 DXS786498 EHO786498 ERK786498 FBG786498 FLC786498 FUY786498 GEU786498 GOQ786498 GYM786498 HII786498 HSE786498 ICA786498 ILW786498 IVS786498 JFO786498 JPK786498 JZG786498 KJC786498 KSY786498 LCU786498 LMQ786498 LWM786498 MGI786498 MQE786498 NAA786498 NJW786498 NTS786498 ODO786498 ONK786498 OXG786498 PHC786498 PQY786498 QAU786498 QKQ786498 QUM786498 REI786498 ROE786498 RYA786498 SHW786498 SRS786498 TBO786498 TLK786498 TVG786498 UFC786498 UOY786498 UYU786498 VIQ786498 VSM786498 WCI786498 WME786498 WWA786498 S852034 JO852034 TK852034 ADG852034 ANC852034 AWY852034 BGU852034 BQQ852034 CAM852034 CKI852034 CUE852034 DEA852034 DNW852034 DXS852034 EHO852034 ERK852034 FBG852034 FLC852034 FUY852034 GEU852034 GOQ852034 GYM852034 HII852034 HSE852034 ICA852034 ILW852034 IVS852034 JFO852034 JPK852034 JZG852034 KJC852034 KSY852034 LCU852034 LMQ852034 LWM852034 MGI852034 MQE852034 NAA852034 NJW852034 NTS852034 ODO852034 ONK852034 OXG852034 PHC852034 PQY852034 QAU852034 QKQ852034 QUM852034 REI852034 ROE852034 RYA852034 SHW852034 SRS852034 TBO852034 TLK852034 TVG852034 UFC852034 UOY852034 UYU852034 VIQ852034 VSM852034 WCI852034 WME852034 WWA852034 S917570 JO917570 TK917570 ADG917570 ANC917570 AWY917570 BGU917570 BQQ917570 CAM917570 CKI917570 CUE917570 DEA917570 DNW917570 DXS917570 EHO917570 ERK917570 FBG917570 FLC917570 FUY917570 GEU917570 GOQ917570 GYM917570 HII917570 HSE917570 ICA917570 ILW917570 IVS917570 JFO917570 JPK917570 JZG917570 KJC917570 KSY917570 LCU917570 LMQ917570 LWM917570 MGI917570 MQE917570 NAA917570 NJW917570 NTS917570 ODO917570 ONK917570 OXG917570 PHC917570 PQY917570 QAU917570 QKQ917570 QUM917570 REI917570 ROE917570 RYA917570 SHW917570 SRS917570 TBO917570 TLK917570 TVG917570 UFC917570 UOY917570 UYU917570 VIQ917570 VSM917570 WCI917570 WME917570 WWA917570 S983106 JO983106 TK983106 ADG983106 ANC983106 AWY983106 BGU983106 BQQ983106 CAM983106 CKI983106 CUE983106 DEA983106 DNW983106 DXS983106 EHO983106 ERK983106 FBG983106 FLC983106 FUY983106 GEU983106 GOQ983106 GYM983106 HII983106 HSE983106 ICA983106 ILW983106 IVS983106 JFO983106 JPK983106 JZG983106 KJC983106 KSY983106 LCU983106 LMQ983106 LWM983106 MGI983106 MQE983106 NAA983106 NJW983106 NTS983106 ODO983106 ONK983106 OXG983106 PHC983106 PQY983106 QAU983106 QKQ983106 QUM983106 REI983106 ROE983106 RYA983106 SHW983106 SRS983106 TBO983106 TLK983106 TVG983106 UFC983106 UOY983106 UYU983106 VIQ983106 VSM983106 WCI983106 WME983106 WWA983106 S123 JO123 TK123 ADG123 ANC123 AWY123 BGU123 BQQ123 CAM123 CKI123 CUE123 DEA123 DNW123 DXS123 EHO123 ERK123 FBG123 FLC123 FUY123 GEU123 GOQ123 GYM123 HII123 HSE123 ICA123 ILW123 IVS123 JFO123 JPK123 JZG123 KJC123 KSY123 LCU123 LMQ123 LWM123 MGI123 MQE123 NAA123 NJW123 NTS123 ODO123 ONK123 OXG123 PHC123 PQY123 QAU123 QKQ123 QUM123 REI123 ROE123 RYA123 SHW123 SRS123 TBO123 TLK123 TVG123 UFC123 UOY123 UYU123 VIQ123 VSM123 WCI123 WME123 WWA123 S65642 JO65642 TK65642 ADG65642 ANC65642 AWY65642 BGU65642 BQQ65642 CAM65642 CKI65642 CUE65642 DEA65642 DNW65642 DXS65642 EHO65642 ERK65642 FBG65642 FLC65642 FUY65642 GEU65642 GOQ65642 GYM65642 HII65642 HSE65642 ICA65642 ILW65642 IVS65642 JFO65642 JPK65642 JZG65642 KJC65642 KSY65642 LCU65642 LMQ65642 LWM65642 MGI65642 MQE65642 NAA65642 NJW65642 NTS65642 ODO65642 ONK65642 OXG65642 PHC65642 PQY65642 QAU65642 QKQ65642 QUM65642 REI65642 ROE65642 RYA65642 SHW65642 SRS65642 TBO65642 TLK65642 TVG65642 UFC65642 UOY65642 UYU65642 VIQ65642 VSM65642 WCI65642 WME65642 WWA65642 S131178 JO131178 TK131178 ADG131178 ANC131178 AWY131178 BGU131178 BQQ131178 CAM131178 CKI131178 CUE131178 DEA131178 DNW131178 DXS131178 EHO131178 ERK131178 FBG131178 FLC131178 FUY131178 GEU131178 GOQ131178 GYM131178 HII131178 HSE131178 ICA131178 ILW131178 IVS131178 JFO131178 JPK131178 JZG131178 KJC131178 KSY131178 LCU131178 LMQ131178 LWM131178 MGI131178 MQE131178 NAA131178 NJW131178 NTS131178 ODO131178 ONK131178 OXG131178 PHC131178 PQY131178 QAU131178 QKQ131178 QUM131178 REI131178 ROE131178 RYA131178 SHW131178 SRS131178 TBO131178 TLK131178 TVG131178 UFC131178 UOY131178 UYU131178 VIQ131178 VSM131178 WCI131178 WME131178 WWA131178 S196714 JO196714 TK196714 ADG196714 ANC196714 AWY196714 BGU196714 BQQ196714 CAM196714 CKI196714 CUE196714 DEA196714 DNW196714 DXS196714 EHO196714 ERK196714 FBG196714 FLC196714 FUY196714 GEU196714 GOQ196714 GYM196714 HII196714 HSE196714 ICA196714 ILW196714 IVS196714 JFO196714 JPK196714 JZG196714 KJC196714 KSY196714 LCU196714 LMQ196714 LWM196714 MGI196714 MQE196714 NAA196714 NJW196714 NTS196714 ODO196714 ONK196714 OXG196714 PHC196714 PQY196714 QAU196714 QKQ196714 QUM196714 REI196714 ROE196714 RYA196714 SHW196714 SRS196714 TBO196714 TLK196714 TVG196714 UFC196714 UOY196714 UYU196714 VIQ196714 VSM196714 WCI196714 WME196714 WWA196714 S262250 JO262250 TK262250 ADG262250 ANC262250 AWY262250 BGU262250 BQQ262250 CAM262250 CKI262250 CUE262250 DEA262250 DNW262250 DXS262250 EHO262250 ERK262250 FBG262250 FLC262250 FUY262250 GEU262250 GOQ262250 GYM262250 HII262250 HSE262250 ICA262250 ILW262250 IVS262250 JFO262250 JPK262250 JZG262250 KJC262250 KSY262250 LCU262250 LMQ262250 LWM262250 MGI262250 MQE262250 NAA262250 NJW262250 NTS262250 ODO262250 ONK262250 OXG262250 PHC262250 PQY262250 QAU262250 QKQ262250 QUM262250 REI262250 ROE262250 RYA262250 SHW262250 SRS262250 TBO262250 TLK262250 TVG262250 UFC262250 UOY262250 UYU262250 VIQ262250 VSM262250 WCI262250 WME262250 WWA262250 S327786 JO327786 TK327786 ADG327786 ANC327786 AWY327786 BGU327786 BQQ327786 CAM327786 CKI327786 CUE327786 DEA327786 DNW327786 DXS327786 EHO327786 ERK327786 FBG327786 FLC327786 FUY327786 GEU327786 GOQ327786 GYM327786 HII327786 HSE327786 ICA327786 ILW327786 IVS327786 JFO327786 JPK327786 JZG327786 KJC327786 KSY327786 LCU327786 LMQ327786 LWM327786 MGI327786 MQE327786 NAA327786 NJW327786 NTS327786 ODO327786 ONK327786 OXG327786 PHC327786 PQY327786 QAU327786 QKQ327786 QUM327786 REI327786 ROE327786 RYA327786 SHW327786 SRS327786 TBO327786 TLK327786 TVG327786 UFC327786 UOY327786 UYU327786 VIQ327786 VSM327786 WCI327786 WME327786 WWA327786 S393322 JO393322 TK393322 ADG393322 ANC393322 AWY393322 BGU393322 BQQ393322 CAM393322 CKI393322 CUE393322 DEA393322 DNW393322 DXS393322 EHO393322 ERK393322 FBG393322 FLC393322 FUY393322 GEU393322 GOQ393322 GYM393322 HII393322 HSE393322 ICA393322 ILW393322 IVS393322 JFO393322 JPK393322 JZG393322 KJC393322 KSY393322 LCU393322 LMQ393322 LWM393322 MGI393322 MQE393322 NAA393322 NJW393322 NTS393322 ODO393322 ONK393322 OXG393322 PHC393322 PQY393322 QAU393322 QKQ393322 QUM393322 REI393322 ROE393322 RYA393322 SHW393322 SRS393322 TBO393322 TLK393322 TVG393322 UFC393322 UOY393322 UYU393322 VIQ393322 VSM393322 WCI393322 WME393322 WWA393322 S458858 JO458858 TK458858 ADG458858 ANC458858 AWY458858 BGU458858 BQQ458858 CAM458858 CKI458858 CUE458858 DEA458858 DNW458858 DXS458858 EHO458858 ERK458858 FBG458858 FLC458858 FUY458858 GEU458858 GOQ458858 GYM458858 HII458858 HSE458858 ICA458858 ILW458858 IVS458858 JFO458858 JPK458858 JZG458858 KJC458858 KSY458858 LCU458858 LMQ458858 LWM458858 MGI458858 MQE458858 NAA458858 NJW458858 NTS458858 ODO458858 ONK458858 OXG458858 PHC458858 PQY458858 QAU458858 QKQ458858 QUM458858 REI458858 ROE458858 RYA458858 SHW458858 SRS458858 TBO458858 TLK458858 TVG458858 UFC458858 UOY458858 UYU458858 VIQ458858 VSM458858 WCI458858 WME458858 WWA458858 S524394 JO524394 TK524394 ADG524394 ANC524394 AWY524394 BGU524394 BQQ524394 CAM524394 CKI524394 CUE524394 DEA524394 DNW524394 DXS524394 EHO524394 ERK524394 FBG524394 FLC524394 FUY524394 GEU524394 GOQ524394 GYM524394 HII524394 HSE524394 ICA524394 ILW524394 IVS524394 JFO524394 JPK524394 JZG524394 KJC524394 KSY524394 LCU524394 LMQ524394 LWM524394 MGI524394 MQE524394 NAA524394 NJW524394 NTS524394 ODO524394 ONK524394 OXG524394 PHC524394 PQY524394 QAU524394 QKQ524394 QUM524394 REI524394 ROE524394 RYA524394 SHW524394 SRS524394 TBO524394 TLK524394 TVG524394 UFC524394 UOY524394 UYU524394 VIQ524394 VSM524394 WCI524394 WME524394 WWA524394 S589930 JO589930 TK589930 ADG589930 ANC589930 AWY589930 BGU589930 BQQ589930 CAM589930 CKI589930 CUE589930 DEA589930 DNW589930 DXS589930 EHO589930 ERK589930 FBG589930 FLC589930 FUY589930 GEU589930 GOQ589930 GYM589930 HII589930 HSE589930 ICA589930 ILW589930 IVS589930 JFO589930 JPK589930 JZG589930 KJC589930 KSY589930 LCU589930 LMQ589930 LWM589930 MGI589930 MQE589930 NAA589930 NJW589930 NTS589930 ODO589930 ONK589930 OXG589930 PHC589930 PQY589930 QAU589930 QKQ589930 QUM589930 REI589930 ROE589930 RYA589930 SHW589930 SRS589930 TBO589930 TLK589930 TVG589930 UFC589930 UOY589930 UYU589930 VIQ589930 VSM589930 WCI589930 WME589930 WWA589930 S655466 JO655466 TK655466 ADG655466 ANC655466 AWY655466 BGU655466 BQQ655466 CAM655466 CKI655466 CUE655466 DEA655466 DNW655466 DXS655466 EHO655466 ERK655466 FBG655466 FLC655466 FUY655466 GEU655466 GOQ655466 GYM655466 HII655466 HSE655466 ICA655466 ILW655466 IVS655466 JFO655466 JPK655466 JZG655466 KJC655466 KSY655466 LCU655466 LMQ655466 LWM655466 MGI655466 MQE655466 NAA655466 NJW655466 NTS655466 ODO655466 ONK655466 OXG655466 PHC655466 PQY655466 QAU655466 QKQ655466 QUM655466 REI655466 ROE655466 RYA655466 SHW655466 SRS655466 TBO655466 TLK655466 TVG655466 UFC655466 UOY655466 UYU655466 VIQ655466 VSM655466 WCI655466 WME655466 WWA655466 S721002 JO721002 TK721002 ADG721002 ANC721002 AWY721002 BGU721002 BQQ721002 CAM721002 CKI721002 CUE721002 DEA721002 DNW721002 DXS721002 EHO721002 ERK721002 FBG721002 FLC721002 FUY721002 GEU721002 GOQ721002 GYM721002 HII721002 HSE721002 ICA721002 ILW721002 IVS721002 JFO721002 JPK721002 JZG721002 KJC721002 KSY721002 LCU721002 LMQ721002 LWM721002 MGI721002 MQE721002 NAA721002 NJW721002 NTS721002 ODO721002 ONK721002 OXG721002 PHC721002 PQY721002 QAU721002 QKQ721002 QUM721002 REI721002 ROE721002 RYA721002 SHW721002 SRS721002 TBO721002 TLK721002 TVG721002 UFC721002 UOY721002 UYU721002 VIQ721002 VSM721002 WCI721002 WME721002 WWA721002 S786538 JO786538 TK786538 ADG786538 ANC786538 AWY786538 BGU786538 BQQ786538 CAM786538 CKI786538 CUE786538 DEA786538 DNW786538 DXS786538 EHO786538 ERK786538 FBG786538 FLC786538 FUY786538 GEU786538 GOQ786538 GYM786538 HII786538 HSE786538 ICA786538 ILW786538 IVS786538 JFO786538 JPK786538 JZG786538 KJC786538 KSY786538 LCU786538 LMQ786538 LWM786538 MGI786538 MQE786538 NAA786538 NJW786538 NTS786538 ODO786538 ONK786538 OXG786538 PHC786538 PQY786538 QAU786538 QKQ786538 QUM786538 REI786538 ROE786538 RYA786538 SHW786538 SRS786538 TBO786538 TLK786538 TVG786538 UFC786538 UOY786538 UYU786538 VIQ786538 VSM786538 WCI786538 WME786538 WWA786538 S852074 JO852074 TK852074 ADG852074 ANC852074 AWY852074 BGU852074 BQQ852074 CAM852074 CKI852074 CUE852074 DEA852074 DNW852074 DXS852074 EHO852074 ERK852074 FBG852074 FLC852074 FUY852074 GEU852074 GOQ852074 GYM852074 HII852074 HSE852074 ICA852074 ILW852074 IVS852074 JFO852074 JPK852074 JZG852074 KJC852074 KSY852074 LCU852074 LMQ852074 LWM852074 MGI852074 MQE852074 NAA852074 NJW852074 NTS852074 ODO852074 ONK852074 OXG852074 PHC852074 PQY852074 QAU852074 QKQ852074 QUM852074 REI852074 ROE852074 RYA852074 SHW852074 SRS852074 TBO852074 TLK852074 TVG852074 UFC852074 UOY852074 UYU852074 VIQ852074 VSM852074 WCI852074 WME852074 WWA852074 S917610 JO917610 TK917610 ADG917610 ANC917610 AWY917610 BGU917610 BQQ917610 CAM917610 CKI917610 CUE917610 DEA917610 DNW917610 DXS917610 EHO917610 ERK917610 FBG917610 FLC917610 FUY917610 GEU917610 GOQ917610 GYM917610 HII917610 HSE917610 ICA917610 ILW917610 IVS917610 JFO917610 JPK917610 JZG917610 KJC917610 KSY917610 LCU917610 LMQ917610 LWM917610 MGI917610 MQE917610 NAA917610 NJW917610 NTS917610 ODO917610 ONK917610 OXG917610 PHC917610 PQY917610 QAU917610 QKQ917610 QUM917610 REI917610 ROE917610 RYA917610 SHW917610 SRS917610 TBO917610 TLK917610 TVG917610 UFC917610 UOY917610 UYU917610 VIQ917610 VSM917610 WCI917610 WME917610 WWA917610 S983146 JO983146 TK983146 ADG983146 ANC983146 AWY983146 BGU983146 BQQ983146 CAM983146 CKI983146 CUE983146 DEA983146 DNW983146 DXS983146 EHO983146 ERK983146 FBG983146 FLC983146 FUY983146 GEU983146 GOQ983146 GYM983146 HII983146 HSE983146 ICA983146 ILW983146 IVS983146 JFO983146 JPK983146 JZG983146 KJC983146 KSY983146 LCU983146 LMQ983146 LWM983146 MGI983146 MQE983146 NAA983146 NJW983146 NTS983146 ODO983146 ONK983146 OXG983146 PHC983146 PQY983146 QAU983146 QKQ983146 QUM983146 REI983146 ROE983146 RYA983146 SHW983146 SRS983146 TBO983146 TLK983146 TVG983146 UFC983146 UOY983146 UYU983146 VIQ983146 VSM983146 WCI983146 WME983146 WWA983146 S208" xr:uid="{00000000-0002-0000-0100-000004000000}">
      <formula1>0</formula1>
      <formula2>1</formula2>
    </dataValidation>
    <dataValidation type="decimal" allowBlank="1" showErrorMessage="1" errorTitle="Erro de valores" error="Digite um valor entre 0% e 100%" sqref="S37:S42 JO37:JO42 TK37:TK42 ADG37:ADG42 ANC37:ANC42 AWY37:AWY42 BGU37:BGU42 BQQ37:BQQ42 CAM37:CAM42 CKI37:CKI42 CUE37:CUE42 DEA37:DEA42 DNW37:DNW42 DXS37:DXS42 EHO37:EHO42 ERK37:ERK42 FBG37:FBG42 FLC37:FLC42 FUY37:FUY42 GEU37:GEU42 GOQ37:GOQ42 GYM37:GYM42 HII37:HII42 HSE37:HSE42 ICA37:ICA42 ILW37:ILW42 IVS37:IVS42 JFO37:JFO42 JPK37:JPK42 JZG37:JZG42 KJC37:KJC42 KSY37:KSY42 LCU37:LCU42 LMQ37:LMQ42 LWM37:LWM42 MGI37:MGI42 MQE37:MQE42 NAA37:NAA42 NJW37:NJW42 NTS37:NTS42 ODO37:ODO42 ONK37:ONK42 OXG37:OXG42 PHC37:PHC42 PQY37:PQY42 QAU37:QAU42 QKQ37:QKQ42 QUM37:QUM42 REI37:REI42 ROE37:ROE42 RYA37:RYA42 SHW37:SHW42 SRS37:SRS42 TBO37:TBO42 TLK37:TLK42 TVG37:TVG42 UFC37:UFC42 UOY37:UOY42 UYU37:UYU42 VIQ37:VIQ42 VSM37:VSM42 WCI37:WCI42 WME37:WME42 WWA37:WWA42 S65556:S65561 JO65556:JO65561 TK65556:TK65561 ADG65556:ADG65561 ANC65556:ANC65561 AWY65556:AWY65561 BGU65556:BGU65561 BQQ65556:BQQ65561 CAM65556:CAM65561 CKI65556:CKI65561 CUE65556:CUE65561 DEA65556:DEA65561 DNW65556:DNW65561 DXS65556:DXS65561 EHO65556:EHO65561 ERK65556:ERK65561 FBG65556:FBG65561 FLC65556:FLC65561 FUY65556:FUY65561 GEU65556:GEU65561 GOQ65556:GOQ65561 GYM65556:GYM65561 HII65556:HII65561 HSE65556:HSE65561 ICA65556:ICA65561 ILW65556:ILW65561 IVS65556:IVS65561 JFO65556:JFO65561 JPK65556:JPK65561 JZG65556:JZG65561 KJC65556:KJC65561 KSY65556:KSY65561 LCU65556:LCU65561 LMQ65556:LMQ65561 LWM65556:LWM65561 MGI65556:MGI65561 MQE65556:MQE65561 NAA65556:NAA65561 NJW65556:NJW65561 NTS65556:NTS65561 ODO65556:ODO65561 ONK65556:ONK65561 OXG65556:OXG65561 PHC65556:PHC65561 PQY65556:PQY65561 QAU65556:QAU65561 QKQ65556:QKQ65561 QUM65556:QUM65561 REI65556:REI65561 ROE65556:ROE65561 RYA65556:RYA65561 SHW65556:SHW65561 SRS65556:SRS65561 TBO65556:TBO65561 TLK65556:TLK65561 TVG65556:TVG65561 UFC65556:UFC65561 UOY65556:UOY65561 UYU65556:UYU65561 VIQ65556:VIQ65561 VSM65556:VSM65561 WCI65556:WCI65561 WME65556:WME65561 WWA65556:WWA65561 S131092:S131097 JO131092:JO131097 TK131092:TK131097 ADG131092:ADG131097 ANC131092:ANC131097 AWY131092:AWY131097 BGU131092:BGU131097 BQQ131092:BQQ131097 CAM131092:CAM131097 CKI131092:CKI131097 CUE131092:CUE131097 DEA131092:DEA131097 DNW131092:DNW131097 DXS131092:DXS131097 EHO131092:EHO131097 ERK131092:ERK131097 FBG131092:FBG131097 FLC131092:FLC131097 FUY131092:FUY131097 GEU131092:GEU131097 GOQ131092:GOQ131097 GYM131092:GYM131097 HII131092:HII131097 HSE131092:HSE131097 ICA131092:ICA131097 ILW131092:ILW131097 IVS131092:IVS131097 JFO131092:JFO131097 JPK131092:JPK131097 JZG131092:JZG131097 KJC131092:KJC131097 KSY131092:KSY131097 LCU131092:LCU131097 LMQ131092:LMQ131097 LWM131092:LWM131097 MGI131092:MGI131097 MQE131092:MQE131097 NAA131092:NAA131097 NJW131092:NJW131097 NTS131092:NTS131097 ODO131092:ODO131097 ONK131092:ONK131097 OXG131092:OXG131097 PHC131092:PHC131097 PQY131092:PQY131097 QAU131092:QAU131097 QKQ131092:QKQ131097 QUM131092:QUM131097 REI131092:REI131097 ROE131092:ROE131097 RYA131092:RYA131097 SHW131092:SHW131097 SRS131092:SRS131097 TBO131092:TBO131097 TLK131092:TLK131097 TVG131092:TVG131097 UFC131092:UFC131097 UOY131092:UOY131097 UYU131092:UYU131097 VIQ131092:VIQ131097 VSM131092:VSM131097 WCI131092:WCI131097 WME131092:WME131097 WWA131092:WWA131097 S196628:S196633 JO196628:JO196633 TK196628:TK196633 ADG196628:ADG196633 ANC196628:ANC196633 AWY196628:AWY196633 BGU196628:BGU196633 BQQ196628:BQQ196633 CAM196628:CAM196633 CKI196628:CKI196633 CUE196628:CUE196633 DEA196628:DEA196633 DNW196628:DNW196633 DXS196628:DXS196633 EHO196628:EHO196633 ERK196628:ERK196633 FBG196628:FBG196633 FLC196628:FLC196633 FUY196628:FUY196633 GEU196628:GEU196633 GOQ196628:GOQ196633 GYM196628:GYM196633 HII196628:HII196633 HSE196628:HSE196633 ICA196628:ICA196633 ILW196628:ILW196633 IVS196628:IVS196633 JFO196628:JFO196633 JPK196628:JPK196633 JZG196628:JZG196633 KJC196628:KJC196633 KSY196628:KSY196633 LCU196628:LCU196633 LMQ196628:LMQ196633 LWM196628:LWM196633 MGI196628:MGI196633 MQE196628:MQE196633 NAA196628:NAA196633 NJW196628:NJW196633 NTS196628:NTS196633 ODO196628:ODO196633 ONK196628:ONK196633 OXG196628:OXG196633 PHC196628:PHC196633 PQY196628:PQY196633 QAU196628:QAU196633 QKQ196628:QKQ196633 QUM196628:QUM196633 REI196628:REI196633 ROE196628:ROE196633 RYA196628:RYA196633 SHW196628:SHW196633 SRS196628:SRS196633 TBO196628:TBO196633 TLK196628:TLK196633 TVG196628:TVG196633 UFC196628:UFC196633 UOY196628:UOY196633 UYU196628:UYU196633 VIQ196628:VIQ196633 VSM196628:VSM196633 WCI196628:WCI196633 WME196628:WME196633 WWA196628:WWA196633 S262164:S262169 JO262164:JO262169 TK262164:TK262169 ADG262164:ADG262169 ANC262164:ANC262169 AWY262164:AWY262169 BGU262164:BGU262169 BQQ262164:BQQ262169 CAM262164:CAM262169 CKI262164:CKI262169 CUE262164:CUE262169 DEA262164:DEA262169 DNW262164:DNW262169 DXS262164:DXS262169 EHO262164:EHO262169 ERK262164:ERK262169 FBG262164:FBG262169 FLC262164:FLC262169 FUY262164:FUY262169 GEU262164:GEU262169 GOQ262164:GOQ262169 GYM262164:GYM262169 HII262164:HII262169 HSE262164:HSE262169 ICA262164:ICA262169 ILW262164:ILW262169 IVS262164:IVS262169 JFO262164:JFO262169 JPK262164:JPK262169 JZG262164:JZG262169 KJC262164:KJC262169 KSY262164:KSY262169 LCU262164:LCU262169 LMQ262164:LMQ262169 LWM262164:LWM262169 MGI262164:MGI262169 MQE262164:MQE262169 NAA262164:NAA262169 NJW262164:NJW262169 NTS262164:NTS262169 ODO262164:ODO262169 ONK262164:ONK262169 OXG262164:OXG262169 PHC262164:PHC262169 PQY262164:PQY262169 QAU262164:QAU262169 QKQ262164:QKQ262169 QUM262164:QUM262169 REI262164:REI262169 ROE262164:ROE262169 RYA262164:RYA262169 SHW262164:SHW262169 SRS262164:SRS262169 TBO262164:TBO262169 TLK262164:TLK262169 TVG262164:TVG262169 UFC262164:UFC262169 UOY262164:UOY262169 UYU262164:UYU262169 VIQ262164:VIQ262169 VSM262164:VSM262169 WCI262164:WCI262169 WME262164:WME262169 WWA262164:WWA262169 S327700:S327705 JO327700:JO327705 TK327700:TK327705 ADG327700:ADG327705 ANC327700:ANC327705 AWY327700:AWY327705 BGU327700:BGU327705 BQQ327700:BQQ327705 CAM327700:CAM327705 CKI327700:CKI327705 CUE327700:CUE327705 DEA327700:DEA327705 DNW327700:DNW327705 DXS327700:DXS327705 EHO327700:EHO327705 ERK327700:ERK327705 FBG327700:FBG327705 FLC327700:FLC327705 FUY327700:FUY327705 GEU327700:GEU327705 GOQ327700:GOQ327705 GYM327700:GYM327705 HII327700:HII327705 HSE327700:HSE327705 ICA327700:ICA327705 ILW327700:ILW327705 IVS327700:IVS327705 JFO327700:JFO327705 JPK327700:JPK327705 JZG327700:JZG327705 KJC327700:KJC327705 KSY327700:KSY327705 LCU327700:LCU327705 LMQ327700:LMQ327705 LWM327700:LWM327705 MGI327700:MGI327705 MQE327700:MQE327705 NAA327700:NAA327705 NJW327700:NJW327705 NTS327700:NTS327705 ODO327700:ODO327705 ONK327700:ONK327705 OXG327700:OXG327705 PHC327700:PHC327705 PQY327700:PQY327705 QAU327700:QAU327705 QKQ327700:QKQ327705 QUM327700:QUM327705 REI327700:REI327705 ROE327700:ROE327705 RYA327700:RYA327705 SHW327700:SHW327705 SRS327700:SRS327705 TBO327700:TBO327705 TLK327700:TLK327705 TVG327700:TVG327705 UFC327700:UFC327705 UOY327700:UOY327705 UYU327700:UYU327705 VIQ327700:VIQ327705 VSM327700:VSM327705 WCI327700:WCI327705 WME327700:WME327705 WWA327700:WWA327705 S393236:S393241 JO393236:JO393241 TK393236:TK393241 ADG393236:ADG393241 ANC393236:ANC393241 AWY393236:AWY393241 BGU393236:BGU393241 BQQ393236:BQQ393241 CAM393236:CAM393241 CKI393236:CKI393241 CUE393236:CUE393241 DEA393236:DEA393241 DNW393236:DNW393241 DXS393236:DXS393241 EHO393236:EHO393241 ERK393236:ERK393241 FBG393236:FBG393241 FLC393236:FLC393241 FUY393236:FUY393241 GEU393236:GEU393241 GOQ393236:GOQ393241 GYM393236:GYM393241 HII393236:HII393241 HSE393236:HSE393241 ICA393236:ICA393241 ILW393236:ILW393241 IVS393236:IVS393241 JFO393236:JFO393241 JPK393236:JPK393241 JZG393236:JZG393241 KJC393236:KJC393241 KSY393236:KSY393241 LCU393236:LCU393241 LMQ393236:LMQ393241 LWM393236:LWM393241 MGI393236:MGI393241 MQE393236:MQE393241 NAA393236:NAA393241 NJW393236:NJW393241 NTS393236:NTS393241 ODO393236:ODO393241 ONK393236:ONK393241 OXG393236:OXG393241 PHC393236:PHC393241 PQY393236:PQY393241 QAU393236:QAU393241 QKQ393236:QKQ393241 QUM393236:QUM393241 REI393236:REI393241 ROE393236:ROE393241 RYA393236:RYA393241 SHW393236:SHW393241 SRS393236:SRS393241 TBO393236:TBO393241 TLK393236:TLK393241 TVG393236:TVG393241 UFC393236:UFC393241 UOY393236:UOY393241 UYU393236:UYU393241 VIQ393236:VIQ393241 VSM393236:VSM393241 WCI393236:WCI393241 WME393236:WME393241 WWA393236:WWA393241 S458772:S458777 JO458772:JO458777 TK458772:TK458777 ADG458772:ADG458777 ANC458772:ANC458777 AWY458772:AWY458777 BGU458772:BGU458777 BQQ458772:BQQ458777 CAM458772:CAM458777 CKI458772:CKI458777 CUE458772:CUE458777 DEA458772:DEA458777 DNW458772:DNW458777 DXS458772:DXS458777 EHO458772:EHO458777 ERK458772:ERK458777 FBG458772:FBG458777 FLC458772:FLC458777 FUY458772:FUY458777 GEU458772:GEU458777 GOQ458772:GOQ458777 GYM458772:GYM458777 HII458772:HII458777 HSE458772:HSE458777 ICA458772:ICA458777 ILW458772:ILW458777 IVS458772:IVS458777 JFO458772:JFO458777 JPK458772:JPK458777 JZG458772:JZG458777 KJC458772:KJC458777 KSY458772:KSY458777 LCU458772:LCU458777 LMQ458772:LMQ458777 LWM458772:LWM458777 MGI458772:MGI458777 MQE458772:MQE458777 NAA458772:NAA458777 NJW458772:NJW458777 NTS458772:NTS458777 ODO458772:ODO458777 ONK458772:ONK458777 OXG458772:OXG458777 PHC458772:PHC458777 PQY458772:PQY458777 QAU458772:QAU458777 QKQ458772:QKQ458777 QUM458772:QUM458777 REI458772:REI458777 ROE458772:ROE458777 RYA458772:RYA458777 SHW458772:SHW458777 SRS458772:SRS458777 TBO458772:TBO458777 TLK458772:TLK458777 TVG458772:TVG458777 UFC458772:UFC458777 UOY458772:UOY458777 UYU458772:UYU458777 VIQ458772:VIQ458777 VSM458772:VSM458777 WCI458772:WCI458777 WME458772:WME458777 WWA458772:WWA458777 S524308:S524313 JO524308:JO524313 TK524308:TK524313 ADG524308:ADG524313 ANC524308:ANC524313 AWY524308:AWY524313 BGU524308:BGU524313 BQQ524308:BQQ524313 CAM524308:CAM524313 CKI524308:CKI524313 CUE524308:CUE524313 DEA524308:DEA524313 DNW524308:DNW524313 DXS524308:DXS524313 EHO524308:EHO524313 ERK524308:ERK524313 FBG524308:FBG524313 FLC524308:FLC524313 FUY524308:FUY524313 GEU524308:GEU524313 GOQ524308:GOQ524313 GYM524308:GYM524313 HII524308:HII524313 HSE524308:HSE524313 ICA524308:ICA524313 ILW524308:ILW524313 IVS524308:IVS524313 JFO524308:JFO524313 JPK524308:JPK524313 JZG524308:JZG524313 KJC524308:KJC524313 KSY524308:KSY524313 LCU524308:LCU524313 LMQ524308:LMQ524313 LWM524308:LWM524313 MGI524308:MGI524313 MQE524308:MQE524313 NAA524308:NAA524313 NJW524308:NJW524313 NTS524308:NTS524313 ODO524308:ODO524313 ONK524308:ONK524313 OXG524308:OXG524313 PHC524308:PHC524313 PQY524308:PQY524313 QAU524308:QAU524313 QKQ524308:QKQ524313 QUM524308:QUM524313 REI524308:REI524313 ROE524308:ROE524313 RYA524308:RYA524313 SHW524308:SHW524313 SRS524308:SRS524313 TBO524308:TBO524313 TLK524308:TLK524313 TVG524308:TVG524313 UFC524308:UFC524313 UOY524308:UOY524313 UYU524308:UYU524313 VIQ524308:VIQ524313 VSM524308:VSM524313 WCI524308:WCI524313 WME524308:WME524313 WWA524308:WWA524313 S589844:S589849 JO589844:JO589849 TK589844:TK589849 ADG589844:ADG589849 ANC589844:ANC589849 AWY589844:AWY589849 BGU589844:BGU589849 BQQ589844:BQQ589849 CAM589844:CAM589849 CKI589844:CKI589849 CUE589844:CUE589849 DEA589844:DEA589849 DNW589844:DNW589849 DXS589844:DXS589849 EHO589844:EHO589849 ERK589844:ERK589849 FBG589844:FBG589849 FLC589844:FLC589849 FUY589844:FUY589849 GEU589844:GEU589849 GOQ589844:GOQ589849 GYM589844:GYM589849 HII589844:HII589849 HSE589844:HSE589849 ICA589844:ICA589849 ILW589844:ILW589849 IVS589844:IVS589849 JFO589844:JFO589849 JPK589844:JPK589849 JZG589844:JZG589849 KJC589844:KJC589849 KSY589844:KSY589849 LCU589844:LCU589849 LMQ589844:LMQ589849 LWM589844:LWM589849 MGI589844:MGI589849 MQE589844:MQE589849 NAA589844:NAA589849 NJW589844:NJW589849 NTS589844:NTS589849 ODO589844:ODO589849 ONK589844:ONK589849 OXG589844:OXG589849 PHC589844:PHC589849 PQY589844:PQY589849 QAU589844:QAU589849 QKQ589844:QKQ589849 QUM589844:QUM589849 REI589844:REI589849 ROE589844:ROE589849 RYA589844:RYA589849 SHW589844:SHW589849 SRS589844:SRS589849 TBO589844:TBO589849 TLK589844:TLK589849 TVG589844:TVG589849 UFC589844:UFC589849 UOY589844:UOY589849 UYU589844:UYU589849 VIQ589844:VIQ589849 VSM589844:VSM589849 WCI589844:WCI589849 WME589844:WME589849 WWA589844:WWA589849 S655380:S655385 JO655380:JO655385 TK655380:TK655385 ADG655380:ADG655385 ANC655380:ANC655385 AWY655380:AWY655385 BGU655380:BGU655385 BQQ655380:BQQ655385 CAM655380:CAM655385 CKI655380:CKI655385 CUE655380:CUE655385 DEA655380:DEA655385 DNW655380:DNW655385 DXS655380:DXS655385 EHO655380:EHO655385 ERK655380:ERK655385 FBG655380:FBG655385 FLC655380:FLC655385 FUY655380:FUY655385 GEU655380:GEU655385 GOQ655380:GOQ655385 GYM655380:GYM655385 HII655380:HII655385 HSE655380:HSE655385 ICA655380:ICA655385 ILW655380:ILW655385 IVS655380:IVS655385 JFO655380:JFO655385 JPK655380:JPK655385 JZG655380:JZG655385 KJC655380:KJC655385 KSY655380:KSY655385 LCU655380:LCU655385 LMQ655380:LMQ655385 LWM655380:LWM655385 MGI655380:MGI655385 MQE655380:MQE655385 NAA655380:NAA655385 NJW655380:NJW655385 NTS655380:NTS655385 ODO655380:ODO655385 ONK655380:ONK655385 OXG655380:OXG655385 PHC655380:PHC655385 PQY655380:PQY655385 QAU655380:QAU655385 QKQ655380:QKQ655385 QUM655380:QUM655385 REI655380:REI655385 ROE655380:ROE655385 RYA655380:RYA655385 SHW655380:SHW655385 SRS655380:SRS655385 TBO655380:TBO655385 TLK655380:TLK655385 TVG655380:TVG655385 UFC655380:UFC655385 UOY655380:UOY655385 UYU655380:UYU655385 VIQ655380:VIQ655385 VSM655380:VSM655385 WCI655380:WCI655385 WME655380:WME655385 WWA655380:WWA655385 S720916:S720921 JO720916:JO720921 TK720916:TK720921 ADG720916:ADG720921 ANC720916:ANC720921 AWY720916:AWY720921 BGU720916:BGU720921 BQQ720916:BQQ720921 CAM720916:CAM720921 CKI720916:CKI720921 CUE720916:CUE720921 DEA720916:DEA720921 DNW720916:DNW720921 DXS720916:DXS720921 EHO720916:EHO720921 ERK720916:ERK720921 FBG720916:FBG720921 FLC720916:FLC720921 FUY720916:FUY720921 GEU720916:GEU720921 GOQ720916:GOQ720921 GYM720916:GYM720921 HII720916:HII720921 HSE720916:HSE720921 ICA720916:ICA720921 ILW720916:ILW720921 IVS720916:IVS720921 JFO720916:JFO720921 JPK720916:JPK720921 JZG720916:JZG720921 KJC720916:KJC720921 KSY720916:KSY720921 LCU720916:LCU720921 LMQ720916:LMQ720921 LWM720916:LWM720921 MGI720916:MGI720921 MQE720916:MQE720921 NAA720916:NAA720921 NJW720916:NJW720921 NTS720916:NTS720921 ODO720916:ODO720921 ONK720916:ONK720921 OXG720916:OXG720921 PHC720916:PHC720921 PQY720916:PQY720921 QAU720916:QAU720921 QKQ720916:QKQ720921 QUM720916:QUM720921 REI720916:REI720921 ROE720916:ROE720921 RYA720916:RYA720921 SHW720916:SHW720921 SRS720916:SRS720921 TBO720916:TBO720921 TLK720916:TLK720921 TVG720916:TVG720921 UFC720916:UFC720921 UOY720916:UOY720921 UYU720916:UYU720921 VIQ720916:VIQ720921 VSM720916:VSM720921 WCI720916:WCI720921 WME720916:WME720921 WWA720916:WWA720921 S786452:S786457 JO786452:JO786457 TK786452:TK786457 ADG786452:ADG786457 ANC786452:ANC786457 AWY786452:AWY786457 BGU786452:BGU786457 BQQ786452:BQQ786457 CAM786452:CAM786457 CKI786452:CKI786457 CUE786452:CUE786457 DEA786452:DEA786457 DNW786452:DNW786457 DXS786452:DXS786457 EHO786452:EHO786457 ERK786452:ERK786457 FBG786452:FBG786457 FLC786452:FLC786457 FUY786452:FUY786457 GEU786452:GEU786457 GOQ786452:GOQ786457 GYM786452:GYM786457 HII786452:HII786457 HSE786452:HSE786457 ICA786452:ICA786457 ILW786452:ILW786457 IVS786452:IVS786457 JFO786452:JFO786457 JPK786452:JPK786457 JZG786452:JZG786457 KJC786452:KJC786457 KSY786452:KSY786457 LCU786452:LCU786457 LMQ786452:LMQ786457 LWM786452:LWM786457 MGI786452:MGI786457 MQE786452:MQE786457 NAA786452:NAA786457 NJW786452:NJW786457 NTS786452:NTS786457 ODO786452:ODO786457 ONK786452:ONK786457 OXG786452:OXG786457 PHC786452:PHC786457 PQY786452:PQY786457 QAU786452:QAU786457 QKQ786452:QKQ786457 QUM786452:QUM786457 REI786452:REI786457 ROE786452:ROE786457 RYA786452:RYA786457 SHW786452:SHW786457 SRS786452:SRS786457 TBO786452:TBO786457 TLK786452:TLK786457 TVG786452:TVG786457 UFC786452:UFC786457 UOY786452:UOY786457 UYU786452:UYU786457 VIQ786452:VIQ786457 VSM786452:VSM786457 WCI786452:WCI786457 WME786452:WME786457 WWA786452:WWA786457 S851988:S851993 JO851988:JO851993 TK851988:TK851993 ADG851988:ADG851993 ANC851988:ANC851993 AWY851988:AWY851993 BGU851988:BGU851993 BQQ851988:BQQ851993 CAM851988:CAM851993 CKI851988:CKI851993 CUE851988:CUE851993 DEA851988:DEA851993 DNW851988:DNW851993 DXS851988:DXS851993 EHO851988:EHO851993 ERK851988:ERK851993 FBG851988:FBG851993 FLC851988:FLC851993 FUY851988:FUY851993 GEU851988:GEU851993 GOQ851988:GOQ851993 GYM851988:GYM851993 HII851988:HII851993 HSE851988:HSE851993 ICA851988:ICA851993 ILW851988:ILW851993 IVS851988:IVS851993 JFO851988:JFO851993 JPK851988:JPK851993 JZG851988:JZG851993 KJC851988:KJC851993 KSY851988:KSY851993 LCU851988:LCU851993 LMQ851988:LMQ851993 LWM851988:LWM851993 MGI851988:MGI851993 MQE851988:MQE851993 NAA851988:NAA851993 NJW851988:NJW851993 NTS851988:NTS851993 ODO851988:ODO851993 ONK851988:ONK851993 OXG851988:OXG851993 PHC851988:PHC851993 PQY851988:PQY851993 QAU851988:QAU851993 QKQ851988:QKQ851993 QUM851988:QUM851993 REI851988:REI851993 ROE851988:ROE851993 RYA851988:RYA851993 SHW851988:SHW851993 SRS851988:SRS851993 TBO851988:TBO851993 TLK851988:TLK851993 TVG851988:TVG851993 UFC851988:UFC851993 UOY851988:UOY851993 UYU851988:UYU851993 VIQ851988:VIQ851993 VSM851988:VSM851993 WCI851988:WCI851993 WME851988:WME851993 WWA851988:WWA851993 S917524:S917529 JO917524:JO917529 TK917524:TK917529 ADG917524:ADG917529 ANC917524:ANC917529 AWY917524:AWY917529 BGU917524:BGU917529 BQQ917524:BQQ917529 CAM917524:CAM917529 CKI917524:CKI917529 CUE917524:CUE917529 DEA917524:DEA917529 DNW917524:DNW917529 DXS917524:DXS917529 EHO917524:EHO917529 ERK917524:ERK917529 FBG917524:FBG917529 FLC917524:FLC917529 FUY917524:FUY917529 GEU917524:GEU917529 GOQ917524:GOQ917529 GYM917524:GYM917529 HII917524:HII917529 HSE917524:HSE917529 ICA917524:ICA917529 ILW917524:ILW917529 IVS917524:IVS917529 JFO917524:JFO917529 JPK917524:JPK917529 JZG917524:JZG917529 KJC917524:KJC917529 KSY917524:KSY917529 LCU917524:LCU917529 LMQ917524:LMQ917529 LWM917524:LWM917529 MGI917524:MGI917529 MQE917524:MQE917529 NAA917524:NAA917529 NJW917524:NJW917529 NTS917524:NTS917529 ODO917524:ODO917529 ONK917524:ONK917529 OXG917524:OXG917529 PHC917524:PHC917529 PQY917524:PQY917529 QAU917524:QAU917529 QKQ917524:QKQ917529 QUM917524:QUM917529 REI917524:REI917529 ROE917524:ROE917529 RYA917524:RYA917529 SHW917524:SHW917529 SRS917524:SRS917529 TBO917524:TBO917529 TLK917524:TLK917529 TVG917524:TVG917529 UFC917524:UFC917529 UOY917524:UOY917529 UYU917524:UYU917529 VIQ917524:VIQ917529 VSM917524:VSM917529 WCI917524:WCI917529 WME917524:WME917529 WWA917524:WWA917529 S983060:S983065 JO983060:JO983065 TK983060:TK983065 ADG983060:ADG983065 ANC983060:ANC983065 AWY983060:AWY983065 BGU983060:BGU983065 BQQ983060:BQQ983065 CAM983060:CAM983065 CKI983060:CKI983065 CUE983060:CUE983065 DEA983060:DEA983065 DNW983060:DNW983065 DXS983060:DXS983065 EHO983060:EHO983065 ERK983060:ERK983065 FBG983060:FBG983065 FLC983060:FLC983065 FUY983060:FUY983065 GEU983060:GEU983065 GOQ983060:GOQ983065 GYM983060:GYM983065 HII983060:HII983065 HSE983060:HSE983065 ICA983060:ICA983065 ILW983060:ILW983065 IVS983060:IVS983065 JFO983060:JFO983065 JPK983060:JPK983065 JZG983060:JZG983065 KJC983060:KJC983065 KSY983060:KSY983065 LCU983060:LCU983065 LMQ983060:LMQ983065 LWM983060:LWM983065 MGI983060:MGI983065 MQE983060:MQE983065 NAA983060:NAA983065 NJW983060:NJW983065 NTS983060:NTS983065 ODO983060:ODO983065 ONK983060:ONK983065 OXG983060:OXG983065 PHC983060:PHC983065 PQY983060:PQY983065 QAU983060:QAU983065 QKQ983060:QKQ983065 QUM983060:QUM983065 REI983060:REI983065 ROE983060:ROE983065 RYA983060:RYA983065 SHW983060:SHW983065 SRS983060:SRS983065 TBO983060:TBO983065 TLK983060:TLK983065 TVG983060:TVG983065 UFC983060:UFC983065 UOY983060:UOY983065 UYU983060:UYU983065 VIQ983060:VIQ983065 VSM983060:VSM983065 WCI983060:WCI983065 WME983060:WME983065 WWA983060:WWA983065 S77:S82 JO77:JO82 TK77:TK82 ADG77:ADG82 ANC77:ANC82 AWY77:AWY82 BGU77:BGU82 BQQ77:BQQ82 CAM77:CAM82 CKI77:CKI82 CUE77:CUE82 DEA77:DEA82 DNW77:DNW82 DXS77:DXS82 EHO77:EHO82 ERK77:ERK82 FBG77:FBG82 FLC77:FLC82 FUY77:FUY82 GEU77:GEU82 GOQ77:GOQ82 GYM77:GYM82 HII77:HII82 HSE77:HSE82 ICA77:ICA82 ILW77:ILW82 IVS77:IVS82 JFO77:JFO82 JPK77:JPK82 JZG77:JZG82 KJC77:KJC82 KSY77:KSY82 LCU77:LCU82 LMQ77:LMQ82 LWM77:LWM82 MGI77:MGI82 MQE77:MQE82 NAA77:NAA82 NJW77:NJW82 NTS77:NTS82 ODO77:ODO82 ONK77:ONK82 OXG77:OXG82 PHC77:PHC82 PQY77:PQY82 QAU77:QAU82 QKQ77:QKQ82 QUM77:QUM82 REI77:REI82 ROE77:ROE82 RYA77:RYA82 SHW77:SHW82 SRS77:SRS82 TBO77:TBO82 TLK77:TLK82 TVG77:TVG82 UFC77:UFC82 UOY77:UOY82 UYU77:UYU82 VIQ77:VIQ82 VSM77:VSM82 WCI77:WCI82 WME77:WME82 WWA77:WWA82 S65596:S65601 JO65596:JO65601 TK65596:TK65601 ADG65596:ADG65601 ANC65596:ANC65601 AWY65596:AWY65601 BGU65596:BGU65601 BQQ65596:BQQ65601 CAM65596:CAM65601 CKI65596:CKI65601 CUE65596:CUE65601 DEA65596:DEA65601 DNW65596:DNW65601 DXS65596:DXS65601 EHO65596:EHO65601 ERK65596:ERK65601 FBG65596:FBG65601 FLC65596:FLC65601 FUY65596:FUY65601 GEU65596:GEU65601 GOQ65596:GOQ65601 GYM65596:GYM65601 HII65596:HII65601 HSE65596:HSE65601 ICA65596:ICA65601 ILW65596:ILW65601 IVS65596:IVS65601 JFO65596:JFO65601 JPK65596:JPK65601 JZG65596:JZG65601 KJC65596:KJC65601 KSY65596:KSY65601 LCU65596:LCU65601 LMQ65596:LMQ65601 LWM65596:LWM65601 MGI65596:MGI65601 MQE65596:MQE65601 NAA65596:NAA65601 NJW65596:NJW65601 NTS65596:NTS65601 ODO65596:ODO65601 ONK65596:ONK65601 OXG65596:OXG65601 PHC65596:PHC65601 PQY65596:PQY65601 QAU65596:QAU65601 QKQ65596:QKQ65601 QUM65596:QUM65601 REI65596:REI65601 ROE65596:ROE65601 RYA65596:RYA65601 SHW65596:SHW65601 SRS65596:SRS65601 TBO65596:TBO65601 TLK65596:TLK65601 TVG65596:TVG65601 UFC65596:UFC65601 UOY65596:UOY65601 UYU65596:UYU65601 VIQ65596:VIQ65601 VSM65596:VSM65601 WCI65596:WCI65601 WME65596:WME65601 WWA65596:WWA65601 S131132:S131137 JO131132:JO131137 TK131132:TK131137 ADG131132:ADG131137 ANC131132:ANC131137 AWY131132:AWY131137 BGU131132:BGU131137 BQQ131132:BQQ131137 CAM131132:CAM131137 CKI131132:CKI131137 CUE131132:CUE131137 DEA131132:DEA131137 DNW131132:DNW131137 DXS131132:DXS131137 EHO131132:EHO131137 ERK131132:ERK131137 FBG131132:FBG131137 FLC131132:FLC131137 FUY131132:FUY131137 GEU131132:GEU131137 GOQ131132:GOQ131137 GYM131132:GYM131137 HII131132:HII131137 HSE131132:HSE131137 ICA131132:ICA131137 ILW131132:ILW131137 IVS131132:IVS131137 JFO131132:JFO131137 JPK131132:JPK131137 JZG131132:JZG131137 KJC131132:KJC131137 KSY131132:KSY131137 LCU131132:LCU131137 LMQ131132:LMQ131137 LWM131132:LWM131137 MGI131132:MGI131137 MQE131132:MQE131137 NAA131132:NAA131137 NJW131132:NJW131137 NTS131132:NTS131137 ODO131132:ODO131137 ONK131132:ONK131137 OXG131132:OXG131137 PHC131132:PHC131137 PQY131132:PQY131137 QAU131132:QAU131137 QKQ131132:QKQ131137 QUM131132:QUM131137 REI131132:REI131137 ROE131132:ROE131137 RYA131132:RYA131137 SHW131132:SHW131137 SRS131132:SRS131137 TBO131132:TBO131137 TLK131132:TLK131137 TVG131132:TVG131137 UFC131132:UFC131137 UOY131132:UOY131137 UYU131132:UYU131137 VIQ131132:VIQ131137 VSM131132:VSM131137 WCI131132:WCI131137 WME131132:WME131137 WWA131132:WWA131137 S196668:S196673 JO196668:JO196673 TK196668:TK196673 ADG196668:ADG196673 ANC196668:ANC196673 AWY196668:AWY196673 BGU196668:BGU196673 BQQ196668:BQQ196673 CAM196668:CAM196673 CKI196668:CKI196673 CUE196668:CUE196673 DEA196668:DEA196673 DNW196668:DNW196673 DXS196668:DXS196673 EHO196668:EHO196673 ERK196668:ERK196673 FBG196668:FBG196673 FLC196668:FLC196673 FUY196668:FUY196673 GEU196668:GEU196673 GOQ196668:GOQ196673 GYM196668:GYM196673 HII196668:HII196673 HSE196668:HSE196673 ICA196668:ICA196673 ILW196668:ILW196673 IVS196668:IVS196673 JFO196668:JFO196673 JPK196668:JPK196673 JZG196668:JZG196673 KJC196668:KJC196673 KSY196668:KSY196673 LCU196668:LCU196673 LMQ196668:LMQ196673 LWM196668:LWM196673 MGI196668:MGI196673 MQE196668:MQE196673 NAA196668:NAA196673 NJW196668:NJW196673 NTS196668:NTS196673 ODO196668:ODO196673 ONK196668:ONK196673 OXG196668:OXG196673 PHC196668:PHC196673 PQY196668:PQY196673 QAU196668:QAU196673 QKQ196668:QKQ196673 QUM196668:QUM196673 REI196668:REI196673 ROE196668:ROE196673 RYA196668:RYA196673 SHW196668:SHW196673 SRS196668:SRS196673 TBO196668:TBO196673 TLK196668:TLK196673 TVG196668:TVG196673 UFC196668:UFC196673 UOY196668:UOY196673 UYU196668:UYU196673 VIQ196668:VIQ196673 VSM196668:VSM196673 WCI196668:WCI196673 WME196668:WME196673 WWA196668:WWA196673 S262204:S262209 JO262204:JO262209 TK262204:TK262209 ADG262204:ADG262209 ANC262204:ANC262209 AWY262204:AWY262209 BGU262204:BGU262209 BQQ262204:BQQ262209 CAM262204:CAM262209 CKI262204:CKI262209 CUE262204:CUE262209 DEA262204:DEA262209 DNW262204:DNW262209 DXS262204:DXS262209 EHO262204:EHO262209 ERK262204:ERK262209 FBG262204:FBG262209 FLC262204:FLC262209 FUY262204:FUY262209 GEU262204:GEU262209 GOQ262204:GOQ262209 GYM262204:GYM262209 HII262204:HII262209 HSE262204:HSE262209 ICA262204:ICA262209 ILW262204:ILW262209 IVS262204:IVS262209 JFO262204:JFO262209 JPK262204:JPK262209 JZG262204:JZG262209 KJC262204:KJC262209 KSY262204:KSY262209 LCU262204:LCU262209 LMQ262204:LMQ262209 LWM262204:LWM262209 MGI262204:MGI262209 MQE262204:MQE262209 NAA262204:NAA262209 NJW262204:NJW262209 NTS262204:NTS262209 ODO262204:ODO262209 ONK262204:ONK262209 OXG262204:OXG262209 PHC262204:PHC262209 PQY262204:PQY262209 QAU262204:QAU262209 QKQ262204:QKQ262209 QUM262204:QUM262209 REI262204:REI262209 ROE262204:ROE262209 RYA262204:RYA262209 SHW262204:SHW262209 SRS262204:SRS262209 TBO262204:TBO262209 TLK262204:TLK262209 TVG262204:TVG262209 UFC262204:UFC262209 UOY262204:UOY262209 UYU262204:UYU262209 VIQ262204:VIQ262209 VSM262204:VSM262209 WCI262204:WCI262209 WME262204:WME262209 WWA262204:WWA262209 S327740:S327745 JO327740:JO327745 TK327740:TK327745 ADG327740:ADG327745 ANC327740:ANC327745 AWY327740:AWY327745 BGU327740:BGU327745 BQQ327740:BQQ327745 CAM327740:CAM327745 CKI327740:CKI327745 CUE327740:CUE327745 DEA327740:DEA327745 DNW327740:DNW327745 DXS327740:DXS327745 EHO327740:EHO327745 ERK327740:ERK327745 FBG327740:FBG327745 FLC327740:FLC327745 FUY327740:FUY327745 GEU327740:GEU327745 GOQ327740:GOQ327745 GYM327740:GYM327745 HII327740:HII327745 HSE327740:HSE327745 ICA327740:ICA327745 ILW327740:ILW327745 IVS327740:IVS327745 JFO327740:JFO327745 JPK327740:JPK327745 JZG327740:JZG327745 KJC327740:KJC327745 KSY327740:KSY327745 LCU327740:LCU327745 LMQ327740:LMQ327745 LWM327740:LWM327745 MGI327740:MGI327745 MQE327740:MQE327745 NAA327740:NAA327745 NJW327740:NJW327745 NTS327740:NTS327745 ODO327740:ODO327745 ONK327740:ONK327745 OXG327740:OXG327745 PHC327740:PHC327745 PQY327740:PQY327745 QAU327740:QAU327745 QKQ327740:QKQ327745 QUM327740:QUM327745 REI327740:REI327745 ROE327740:ROE327745 RYA327740:RYA327745 SHW327740:SHW327745 SRS327740:SRS327745 TBO327740:TBO327745 TLK327740:TLK327745 TVG327740:TVG327745 UFC327740:UFC327745 UOY327740:UOY327745 UYU327740:UYU327745 VIQ327740:VIQ327745 VSM327740:VSM327745 WCI327740:WCI327745 WME327740:WME327745 WWA327740:WWA327745 S393276:S393281 JO393276:JO393281 TK393276:TK393281 ADG393276:ADG393281 ANC393276:ANC393281 AWY393276:AWY393281 BGU393276:BGU393281 BQQ393276:BQQ393281 CAM393276:CAM393281 CKI393276:CKI393281 CUE393276:CUE393281 DEA393276:DEA393281 DNW393276:DNW393281 DXS393276:DXS393281 EHO393276:EHO393281 ERK393276:ERK393281 FBG393276:FBG393281 FLC393276:FLC393281 FUY393276:FUY393281 GEU393276:GEU393281 GOQ393276:GOQ393281 GYM393276:GYM393281 HII393276:HII393281 HSE393276:HSE393281 ICA393276:ICA393281 ILW393276:ILW393281 IVS393276:IVS393281 JFO393276:JFO393281 JPK393276:JPK393281 JZG393276:JZG393281 KJC393276:KJC393281 KSY393276:KSY393281 LCU393276:LCU393281 LMQ393276:LMQ393281 LWM393276:LWM393281 MGI393276:MGI393281 MQE393276:MQE393281 NAA393276:NAA393281 NJW393276:NJW393281 NTS393276:NTS393281 ODO393276:ODO393281 ONK393276:ONK393281 OXG393276:OXG393281 PHC393276:PHC393281 PQY393276:PQY393281 QAU393276:QAU393281 QKQ393276:QKQ393281 QUM393276:QUM393281 REI393276:REI393281 ROE393276:ROE393281 RYA393276:RYA393281 SHW393276:SHW393281 SRS393276:SRS393281 TBO393276:TBO393281 TLK393276:TLK393281 TVG393276:TVG393281 UFC393276:UFC393281 UOY393276:UOY393281 UYU393276:UYU393281 VIQ393276:VIQ393281 VSM393276:VSM393281 WCI393276:WCI393281 WME393276:WME393281 WWA393276:WWA393281 S458812:S458817 JO458812:JO458817 TK458812:TK458817 ADG458812:ADG458817 ANC458812:ANC458817 AWY458812:AWY458817 BGU458812:BGU458817 BQQ458812:BQQ458817 CAM458812:CAM458817 CKI458812:CKI458817 CUE458812:CUE458817 DEA458812:DEA458817 DNW458812:DNW458817 DXS458812:DXS458817 EHO458812:EHO458817 ERK458812:ERK458817 FBG458812:FBG458817 FLC458812:FLC458817 FUY458812:FUY458817 GEU458812:GEU458817 GOQ458812:GOQ458817 GYM458812:GYM458817 HII458812:HII458817 HSE458812:HSE458817 ICA458812:ICA458817 ILW458812:ILW458817 IVS458812:IVS458817 JFO458812:JFO458817 JPK458812:JPK458817 JZG458812:JZG458817 KJC458812:KJC458817 KSY458812:KSY458817 LCU458812:LCU458817 LMQ458812:LMQ458817 LWM458812:LWM458817 MGI458812:MGI458817 MQE458812:MQE458817 NAA458812:NAA458817 NJW458812:NJW458817 NTS458812:NTS458817 ODO458812:ODO458817 ONK458812:ONK458817 OXG458812:OXG458817 PHC458812:PHC458817 PQY458812:PQY458817 QAU458812:QAU458817 QKQ458812:QKQ458817 QUM458812:QUM458817 REI458812:REI458817 ROE458812:ROE458817 RYA458812:RYA458817 SHW458812:SHW458817 SRS458812:SRS458817 TBO458812:TBO458817 TLK458812:TLK458817 TVG458812:TVG458817 UFC458812:UFC458817 UOY458812:UOY458817 UYU458812:UYU458817 VIQ458812:VIQ458817 VSM458812:VSM458817 WCI458812:WCI458817 WME458812:WME458817 WWA458812:WWA458817 S524348:S524353 JO524348:JO524353 TK524348:TK524353 ADG524348:ADG524353 ANC524348:ANC524353 AWY524348:AWY524353 BGU524348:BGU524353 BQQ524348:BQQ524353 CAM524348:CAM524353 CKI524348:CKI524353 CUE524348:CUE524353 DEA524348:DEA524353 DNW524348:DNW524353 DXS524348:DXS524353 EHO524348:EHO524353 ERK524348:ERK524353 FBG524348:FBG524353 FLC524348:FLC524353 FUY524348:FUY524353 GEU524348:GEU524353 GOQ524348:GOQ524353 GYM524348:GYM524353 HII524348:HII524353 HSE524348:HSE524353 ICA524348:ICA524353 ILW524348:ILW524353 IVS524348:IVS524353 JFO524348:JFO524353 JPK524348:JPK524353 JZG524348:JZG524353 KJC524348:KJC524353 KSY524348:KSY524353 LCU524348:LCU524353 LMQ524348:LMQ524353 LWM524348:LWM524353 MGI524348:MGI524353 MQE524348:MQE524353 NAA524348:NAA524353 NJW524348:NJW524353 NTS524348:NTS524353 ODO524348:ODO524353 ONK524348:ONK524353 OXG524348:OXG524353 PHC524348:PHC524353 PQY524348:PQY524353 QAU524348:QAU524353 QKQ524348:QKQ524353 QUM524348:QUM524353 REI524348:REI524353 ROE524348:ROE524353 RYA524348:RYA524353 SHW524348:SHW524353 SRS524348:SRS524353 TBO524348:TBO524353 TLK524348:TLK524353 TVG524348:TVG524353 UFC524348:UFC524353 UOY524348:UOY524353 UYU524348:UYU524353 VIQ524348:VIQ524353 VSM524348:VSM524353 WCI524348:WCI524353 WME524348:WME524353 WWA524348:WWA524353 S589884:S589889 JO589884:JO589889 TK589884:TK589889 ADG589884:ADG589889 ANC589884:ANC589889 AWY589884:AWY589889 BGU589884:BGU589889 BQQ589884:BQQ589889 CAM589884:CAM589889 CKI589884:CKI589889 CUE589884:CUE589889 DEA589884:DEA589889 DNW589884:DNW589889 DXS589884:DXS589889 EHO589884:EHO589889 ERK589884:ERK589889 FBG589884:FBG589889 FLC589884:FLC589889 FUY589884:FUY589889 GEU589884:GEU589889 GOQ589884:GOQ589889 GYM589884:GYM589889 HII589884:HII589889 HSE589884:HSE589889 ICA589884:ICA589889 ILW589884:ILW589889 IVS589884:IVS589889 JFO589884:JFO589889 JPK589884:JPK589889 JZG589884:JZG589889 KJC589884:KJC589889 KSY589884:KSY589889 LCU589884:LCU589889 LMQ589884:LMQ589889 LWM589884:LWM589889 MGI589884:MGI589889 MQE589884:MQE589889 NAA589884:NAA589889 NJW589884:NJW589889 NTS589884:NTS589889 ODO589884:ODO589889 ONK589884:ONK589889 OXG589884:OXG589889 PHC589884:PHC589889 PQY589884:PQY589889 QAU589884:QAU589889 QKQ589884:QKQ589889 QUM589884:QUM589889 REI589884:REI589889 ROE589884:ROE589889 RYA589884:RYA589889 SHW589884:SHW589889 SRS589884:SRS589889 TBO589884:TBO589889 TLK589884:TLK589889 TVG589884:TVG589889 UFC589884:UFC589889 UOY589884:UOY589889 UYU589884:UYU589889 VIQ589884:VIQ589889 VSM589884:VSM589889 WCI589884:WCI589889 WME589884:WME589889 WWA589884:WWA589889 S655420:S655425 JO655420:JO655425 TK655420:TK655425 ADG655420:ADG655425 ANC655420:ANC655425 AWY655420:AWY655425 BGU655420:BGU655425 BQQ655420:BQQ655425 CAM655420:CAM655425 CKI655420:CKI655425 CUE655420:CUE655425 DEA655420:DEA655425 DNW655420:DNW655425 DXS655420:DXS655425 EHO655420:EHO655425 ERK655420:ERK655425 FBG655420:FBG655425 FLC655420:FLC655425 FUY655420:FUY655425 GEU655420:GEU655425 GOQ655420:GOQ655425 GYM655420:GYM655425 HII655420:HII655425 HSE655420:HSE655425 ICA655420:ICA655425 ILW655420:ILW655425 IVS655420:IVS655425 JFO655420:JFO655425 JPK655420:JPK655425 JZG655420:JZG655425 KJC655420:KJC655425 KSY655420:KSY655425 LCU655420:LCU655425 LMQ655420:LMQ655425 LWM655420:LWM655425 MGI655420:MGI655425 MQE655420:MQE655425 NAA655420:NAA655425 NJW655420:NJW655425 NTS655420:NTS655425 ODO655420:ODO655425 ONK655420:ONK655425 OXG655420:OXG655425 PHC655420:PHC655425 PQY655420:PQY655425 QAU655420:QAU655425 QKQ655420:QKQ655425 QUM655420:QUM655425 REI655420:REI655425 ROE655420:ROE655425 RYA655420:RYA655425 SHW655420:SHW655425 SRS655420:SRS655425 TBO655420:TBO655425 TLK655420:TLK655425 TVG655420:TVG655425 UFC655420:UFC655425 UOY655420:UOY655425 UYU655420:UYU655425 VIQ655420:VIQ655425 VSM655420:VSM655425 WCI655420:WCI655425 WME655420:WME655425 WWA655420:WWA655425 S720956:S720961 JO720956:JO720961 TK720956:TK720961 ADG720956:ADG720961 ANC720956:ANC720961 AWY720956:AWY720961 BGU720956:BGU720961 BQQ720956:BQQ720961 CAM720956:CAM720961 CKI720956:CKI720961 CUE720956:CUE720961 DEA720956:DEA720961 DNW720956:DNW720961 DXS720956:DXS720961 EHO720956:EHO720961 ERK720956:ERK720961 FBG720956:FBG720961 FLC720956:FLC720961 FUY720956:FUY720961 GEU720956:GEU720961 GOQ720956:GOQ720961 GYM720956:GYM720961 HII720956:HII720961 HSE720956:HSE720961 ICA720956:ICA720961 ILW720956:ILW720961 IVS720956:IVS720961 JFO720956:JFO720961 JPK720956:JPK720961 JZG720956:JZG720961 KJC720956:KJC720961 KSY720956:KSY720961 LCU720956:LCU720961 LMQ720956:LMQ720961 LWM720956:LWM720961 MGI720956:MGI720961 MQE720956:MQE720961 NAA720956:NAA720961 NJW720956:NJW720961 NTS720956:NTS720961 ODO720956:ODO720961 ONK720956:ONK720961 OXG720956:OXG720961 PHC720956:PHC720961 PQY720956:PQY720961 QAU720956:QAU720961 QKQ720956:QKQ720961 QUM720956:QUM720961 REI720956:REI720961 ROE720956:ROE720961 RYA720956:RYA720961 SHW720956:SHW720961 SRS720956:SRS720961 TBO720956:TBO720961 TLK720956:TLK720961 TVG720956:TVG720961 UFC720956:UFC720961 UOY720956:UOY720961 UYU720956:UYU720961 VIQ720956:VIQ720961 VSM720956:VSM720961 WCI720956:WCI720961 WME720956:WME720961 WWA720956:WWA720961 S786492:S786497 JO786492:JO786497 TK786492:TK786497 ADG786492:ADG786497 ANC786492:ANC786497 AWY786492:AWY786497 BGU786492:BGU786497 BQQ786492:BQQ786497 CAM786492:CAM786497 CKI786492:CKI786497 CUE786492:CUE786497 DEA786492:DEA786497 DNW786492:DNW786497 DXS786492:DXS786497 EHO786492:EHO786497 ERK786492:ERK786497 FBG786492:FBG786497 FLC786492:FLC786497 FUY786492:FUY786497 GEU786492:GEU786497 GOQ786492:GOQ786497 GYM786492:GYM786497 HII786492:HII786497 HSE786492:HSE786497 ICA786492:ICA786497 ILW786492:ILW786497 IVS786492:IVS786497 JFO786492:JFO786497 JPK786492:JPK786497 JZG786492:JZG786497 KJC786492:KJC786497 KSY786492:KSY786497 LCU786492:LCU786497 LMQ786492:LMQ786497 LWM786492:LWM786497 MGI786492:MGI786497 MQE786492:MQE786497 NAA786492:NAA786497 NJW786492:NJW786497 NTS786492:NTS786497 ODO786492:ODO786497 ONK786492:ONK786497 OXG786492:OXG786497 PHC786492:PHC786497 PQY786492:PQY786497 QAU786492:QAU786497 QKQ786492:QKQ786497 QUM786492:QUM786497 REI786492:REI786497 ROE786492:ROE786497 RYA786492:RYA786497 SHW786492:SHW786497 SRS786492:SRS786497 TBO786492:TBO786497 TLK786492:TLK786497 TVG786492:TVG786497 UFC786492:UFC786497 UOY786492:UOY786497 UYU786492:UYU786497 VIQ786492:VIQ786497 VSM786492:VSM786497 WCI786492:WCI786497 WME786492:WME786497 WWA786492:WWA786497 S852028:S852033 JO852028:JO852033 TK852028:TK852033 ADG852028:ADG852033 ANC852028:ANC852033 AWY852028:AWY852033 BGU852028:BGU852033 BQQ852028:BQQ852033 CAM852028:CAM852033 CKI852028:CKI852033 CUE852028:CUE852033 DEA852028:DEA852033 DNW852028:DNW852033 DXS852028:DXS852033 EHO852028:EHO852033 ERK852028:ERK852033 FBG852028:FBG852033 FLC852028:FLC852033 FUY852028:FUY852033 GEU852028:GEU852033 GOQ852028:GOQ852033 GYM852028:GYM852033 HII852028:HII852033 HSE852028:HSE852033 ICA852028:ICA852033 ILW852028:ILW852033 IVS852028:IVS852033 JFO852028:JFO852033 JPK852028:JPK852033 JZG852028:JZG852033 KJC852028:KJC852033 KSY852028:KSY852033 LCU852028:LCU852033 LMQ852028:LMQ852033 LWM852028:LWM852033 MGI852028:MGI852033 MQE852028:MQE852033 NAA852028:NAA852033 NJW852028:NJW852033 NTS852028:NTS852033 ODO852028:ODO852033 ONK852028:ONK852033 OXG852028:OXG852033 PHC852028:PHC852033 PQY852028:PQY852033 QAU852028:QAU852033 QKQ852028:QKQ852033 QUM852028:QUM852033 REI852028:REI852033 ROE852028:ROE852033 RYA852028:RYA852033 SHW852028:SHW852033 SRS852028:SRS852033 TBO852028:TBO852033 TLK852028:TLK852033 TVG852028:TVG852033 UFC852028:UFC852033 UOY852028:UOY852033 UYU852028:UYU852033 VIQ852028:VIQ852033 VSM852028:VSM852033 WCI852028:WCI852033 WME852028:WME852033 WWA852028:WWA852033 S917564:S917569 JO917564:JO917569 TK917564:TK917569 ADG917564:ADG917569 ANC917564:ANC917569 AWY917564:AWY917569 BGU917564:BGU917569 BQQ917564:BQQ917569 CAM917564:CAM917569 CKI917564:CKI917569 CUE917564:CUE917569 DEA917564:DEA917569 DNW917564:DNW917569 DXS917564:DXS917569 EHO917564:EHO917569 ERK917564:ERK917569 FBG917564:FBG917569 FLC917564:FLC917569 FUY917564:FUY917569 GEU917564:GEU917569 GOQ917564:GOQ917569 GYM917564:GYM917569 HII917564:HII917569 HSE917564:HSE917569 ICA917564:ICA917569 ILW917564:ILW917569 IVS917564:IVS917569 JFO917564:JFO917569 JPK917564:JPK917569 JZG917564:JZG917569 KJC917564:KJC917569 KSY917564:KSY917569 LCU917564:LCU917569 LMQ917564:LMQ917569 LWM917564:LWM917569 MGI917564:MGI917569 MQE917564:MQE917569 NAA917564:NAA917569 NJW917564:NJW917569 NTS917564:NTS917569 ODO917564:ODO917569 ONK917564:ONK917569 OXG917564:OXG917569 PHC917564:PHC917569 PQY917564:PQY917569 QAU917564:QAU917569 QKQ917564:QKQ917569 QUM917564:QUM917569 REI917564:REI917569 ROE917564:ROE917569 RYA917564:RYA917569 SHW917564:SHW917569 SRS917564:SRS917569 TBO917564:TBO917569 TLK917564:TLK917569 TVG917564:TVG917569 UFC917564:UFC917569 UOY917564:UOY917569 UYU917564:UYU917569 VIQ917564:VIQ917569 VSM917564:VSM917569 WCI917564:WCI917569 WME917564:WME917569 WWA917564:WWA917569 S983100:S983105 JO983100:JO983105 TK983100:TK983105 ADG983100:ADG983105 ANC983100:ANC983105 AWY983100:AWY983105 BGU983100:BGU983105 BQQ983100:BQQ983105 CAM983100:CAM983105 CKI983100:CKI983105 CUE983100:CUE983105 DEA983100:DEA983105 DNW983100:DNW983105 DXS983100:DXS983105 EHO983100:EHO983105 ERK983100:ERK983105 FBG983100:FBG983105 FLC983100:FLC983105 FUY983100:FUY983105 GEU983100:GEU983105 GOQ983100:GOQ983105 GYM983100:GYM983105 HII983100:HII983105 HSE983100:HSE983105 ICA983100:ICA983105 ILW983100:ILW983105 IVS983100:IVS983105 JFO983100:JFO983105 JPK983100:JPK983105 JZG983100:JZG983105 KJC983100:KJC983105 KSY983100:KSY983105 LCU983100:LCU983105 LMQ983100:LMQ983105 LWM983100:LWM983105 MGI983100:MGI983105 MQE983100:MQE983105 NAA983100:NAA983105 NJW983100:NJW983105 NTS983100:NTS983105 ODO983100:ODO983105 ONK983100:ONK983105 OXG983100:OXG983105 PHC983100:PHC983105 PQY983100:PQY983105 QAU983100:QAU983105 QKQ983100:QKQ983105 QUM983100:QUM983105 REI983100:REI983105 ROE983100:ROE983105 RYA983100:RYA983105 SHW983100:SHW983105 SRS983100:SRS983105 TBO983100:TBO983105 TLK983100:TLK983105 TVG983100:TVG983105 UFC983100:UFC983105 UOY983100:UOY983105 UYU983100:UYU983105 VIQ983100:VIQ983105 VSM983100:VSM983105 WCI983100:WCI983105 WME983100:WME983105 WWA983100:WWA983105 S117:S122 JO117:JO122 TK117:TK122 ADG117:ADG122 ANC117:ANC122 AWY117:AWY122 BGU117:BGU122 BQQ117:BQQ122 CAM117:CAM122 CKI117:CKI122 CUE117:CUE122 DEA117:DEA122 DNW117:DNW122 DXS117:DXS122 EHO117:EHO122 ERK117:ERK122 FBG117:FBG122 FLC117:FLC122 FUY117:FUY122 GEU117:GEU122 GOQ117:GOQ122 GYM117:GYM122 HII117:HII122 HSE117:HSE122 ICA117:ICA122 ILW117:ILW122 IVS117:IVS122 JFO117:JFO122 JPK117:JPK122 JZG117:JZG122 KJC117:KJC122 KSY117:KSY122 LCU117:LCU122 LMQ117:LMQ122 LWM117:LWM122 MGI117:MGI122 MQE117:MQE122 NAA117:NAA122 NJW117:NJW122 NTS117:NTS122 ODO117:ODO122 ONK117:ONK122 OXG117:OXG122 PHC117:PHC122 PQY117:PQY122 QAU117:QAU122 QKQ117:QKQ122 QUM117:QUM122 REI117:REI122 ROE117:ROE122 RYA117:RYA122 SHW117:SHW122 SRS117:SRS122 TBO117:TBO122 TLK117:TLK122 TVG117:TVG122 UFC117:UFC122 UOY117:UOY122 UYU117:UYU122 VIQ117:VIQ122 VSM117:VSM122 WCI117:WCI122 WME117:WME122 WWA117:WWA122 S65636:S65641 JO65636:JO65641 TK65636:TK65641 ADG65636:ADG65641 ANC65636:ANC65641 AWY65636:AWY65641 BGU65636:BGU65641 BQQ65636:BQQ65641 CAM65636:CAM65641 CKI65636:CKI65641 CUE65636:CUE65641 DEA65636:DEA65641 DNW65636:DNW65641 DXS65636:DXS65641 EHO65636:EHO65641 ERK65636:ERK65641 FBG65636:FBG65641 FLC65636:FLC65641 FUY65636:FUY65641 GEU65636:GEU65641 GOQ65636:GOQ65641 GYM65636:GYM65641 HII65636:HII65641 HSE65636:HSE65641 ICA65636:ICA65641 ILW65636:ILW65641 IVS65636:IVS65641 JFO65636:JFO65641 JPK65636:JPK65641 JZG65636:JZG65641 KJC65636:KJC65641 KSY65636:KSY65641 LCU65636:LCU65641 LMQ65636:LMQ65641 LWM65636:LWM65641 MGI65636:MGI65641 MQE65636:MQE65641 NAA65636:NAA65641 NJW65636:NJW65641 NTS65636:NTS65641 ODO65636:ODO65641 ONK65636:ONK65641 OXG65636:OXG65641 PHC65636:PHC65641 PQY65636:PQY65641 QAU65636:QAU65641 QKQ65636:QKQ65641 QUM65636:QUM65641 REI65636:REI65641 ROE65636:ROE65641 RYA65636:RYA65641 SHW65636:SHW65641 SRS65636:SRS65641 TBO65636:TBO65641 TLK65636:TLK65641 TVG65636:TVG65641 UFC65636:UFC65641 UOY65636:UOY65641 UYU65636:UYU65641 VIQ65636:VIQ65641 VSM65636:VSM65641 WCI65636:WCI65641 WME65636:WME65641 WWA65636:WWA65641 S131172:S131177 JO131172:JO131177 TK131172:TK131177 ADG131172:ADG131177 ANC131172:ANC131177 AWY131172:AWY131177 BGU131172:BGU131177 BQQ131172:BQQ131177 CAM131172:CAM131177 CKI131172:CKI131177 CUE131172:CUE131177 DEA131172:DEA131177 DNW131172:DNW131177 DXS131172:DXS131177 EHO131172:EHO131177 ERK131172:ERK131177 FBG131172:FBG131177 FLC131172:FLC131177 FUY131172:FUY131177 GEU131172:GEU131177 GOQ131172:GOQ131177 GYM131172:GYM131177 HII131172:HII131177 HSE131172:HSE131177 ICA131172:ICA131177 ILW131172:ILW131177 IVS131172:IVS131177 JFO131172:JFO131177 JPK131172:JPK131177 JZG131172:JZG131177 KJC131172:KJC131177 KSY131172:KSY131177 LCU131172:LCU131177 LMQ131172:LMQ131177 LWM131172:LWM131177 MGI131172:MGI131177 MQE131172:MQE131177 NAA131172:NAA131177 NJW131172:NJW131177 NTS131172:NTS131177 ODO131172:ODO131177 ONK131172:ONK131177 OXG131172:OXG131177 PHC131172:PHC131177 PQY131172:PQY131177 QAU131172:QAU131177 QKQ131172:QKQ131177 QUM131172:QUM131177 REI131172:REI131177 ROE131172:ROE131177 RYA131172:RYA131177 SHW131172:SHW131177 SRS131172:SRS131177 TBO131172:TBO131177 TLK131172:TLK131177 TVG131172:TVG131177 UFC131172:UFC131177 UOY131172:UOY131177 UYU131172:UYU131177 VIQ131172:VIQ131177 VSM131172:VSM131177 WCI131172:WCI131177 WME131172:WME131177 WWA131172:WWA131177 S196708:S196713 JO196708:JO196713 TK196708:TK196713 ADG196708:ADG196713 ANC196708:ANC196713 AWY196708:AWY196713 BGU196708:BGU196713 BQQ196708:BQQ196713 CAM196708:CAM196713 CKI196708:CKI196713 CUE196708:CUE196713 DEA196708:DEA196713 DNW196708:DNW196713 DXS196708:DXS196713 EHO196708:EHO196713 ERK196708:ERK196713 FBG196708:FBG196713 FLC196708:FLC196713 FUY196708:FUY196713 GEU196708:GEU196713 GOQ196708:GOQ196713 GYM196708:GYM196713 HII196708:HII196713 HSE196708:HSE196713 ICA196708:ICA196713 ILW196708:ILW196713 IVS196708:IVS196713 JFO196708:JFO196713 JPK196708:JPK196713 JZG196708:JZG196713 KJC196708:KJC196713 KSY196708:KSY196713 LCU196708:LCU196713 LMQ196708:LMQ196713 LWM196708:LWM196713 MGI196708:MGI196713 MQE196708:MQE196713 NAA196708:NAA196713 NJW196708:NJW196713 NTS196708:NTS196713 ODO196708:ODO196713 ONK196708:ONK196713 OXG196708:OXG196713 PHC196708:PHC196713 PQY196708:PQY196713 QAU196708:QAU196713 QKQ196708:QKQ196713 QUM196708:QUM196713 REI196708:REI196713 ROE196708:ROE196713 RYA196708:RYA196713 SHW196708:SHW196713 SRS196708:SRS196713 TBO196708:TBO196713 TLK196708:TLK196713 TVG196708:TVG196713 UFC196708:UFC196713 UOY196708:UOY196713 UYU196708:UYU196713 VIQ196708:VIQ196713 VSM196708:VSM196713 WCI196708:WCI196713 WME196708:WME196713 WWA196708:WWA196713 S262244:S262249 JO262244:JO262249 TK262244:TK262249 ADG262244:ADG262249 ANC262244:ANC262249 AWY262244:AWY262249 BGU262244:BGU262249 BQQ262244:BQQ262249 CAM262244:CAM262249 CKI262244:CKI262249 CUE262244:CUE262249 DEA262244:DEA262249 DNW262244:DNW262249 DXS262244:DXS262249 EHO262244:EHO262249 ERK262244:ERK262249 FBG262244:FBG262249 FLC262244:FLC262249 FUY262244:FUY262249 GEU262244:GEU262249 GOQ262244:GOQ262249 GYM262244:GYM262249 HII262244:HII262249 HSE262244:HSE262249 ICA262244:ICA262249 ILW262244:ILW262249 IVS262244:IVS262249 JFO262244:JFO262249 JPK262244:JPK262249 JZG262244:JZG262249 KJC262244:KJC262249 KSY262244:KSY262249 LCU262244:LCU262249 LMQ262244:LMQ262249 LWM262244:LWM262249 MGI262244:MGI262249 MQE262244:MQE262249 NAA262244:NAA262249 NJW262244:NJW262249 NTS262244:NTS262249 ODO262244:ODO262249 ONK262244:ONK262249 OXG262244:OXG262249 PHC262244:PHC262249 PQY262244:PQY262249 QAU262244:QAU262249 QKQ262244:QKQ262249 QUM262244:QUM262249 REI262244:REI262249 ROE262244:ROE262249 RYA262244:RYA262249 SHW262244:SHW262249 SRS262244:SRS262249 TBO262244:TBO262249 TLK262244:TLK262249 TVG262244:TVG262249 UFC262244:UFC262249 UOY262244:UOY262249 UYU262244:UYU262249 VIQ262244:VIQ262249 VSM262244:VSM262249 WCI262244:WCI262249 WME262244:WME262249 WWA262244:WWA262249 S327780:S327785 JO327780:JO327785 TK327780:TK327785 ADG327780:ADG327785 ANC327780:ANC327785 AWY327780:AWY327785 BGU327780:BGU327785 BQQ327780:BQQ327785 CAM327780:CAM327785 CKI327780:CKI327785 CUE327780:CUE327785 DEA327780:DEA327785 DNW327780:DNW327785 DXS327780:DXS327785 EHO327780:EHO327785 ERK327780:ERK327785 FBG327780:FBG327785 FLC327780:FLC327785 FUY327780:FUY327785 GEU327780:GEU327785 GOQ327780:GOQ327785 GYM327780:GYM327785 HII327780:HII327785 HSE327780:HSE327785 ICA327780:ICA327785 ILW327780:ILW327785 IVS327780:IVS327785 JFO327780:JFO327785 JPK327780:JPK327785 JZG327780:JZG327785 KJC327780:KJC327785 KSY327780:KSY327785 LCU327780:LCU327785 LMQ327780:LMQ327785 LWM327780:LWM327785 MGI327780:MGI327785 MQE327780:MQE327785 NAA327780:NAA327785 NJW327780:NJW327785 NTS327780:NTS327785 ODO327780:ODO327785 ONK327780:ONK327785 OXG327780:OXG327785 PHC327780:PHC327785 PQY327780:PQY327785 QAU327780:QAU327785 QKQ327780:QKQ327785 QUM327780:QUM327785 REI327780:REI327785 ROE327780:ROE327785 RYA327780:RYA327785 SHW327780:SHW327785 SRS327780:SRS327785 TBO327780:TBO327785 TLK327780:TLK327785 TVG327780:TVG327785 UFC327780:UFC327785 UOY327780:UOY327785 UYU327780:UYU327785 VIQ327780:VIQ327785 VSM327780:VSM327785 WCI327780:WCI327785 WME327780:WME327785 WWA327780:WWA327785 S393316:S393321 JO393316:JO393321 TK393316:TK393321 ADG393316:ADG393321 ANC393316:ANC393321 AWY393316:AWY393321 BGU393316:BGU393321 BQQ393316:BQQ393321 CAM393316:CAM393321 CKI393316:CKI393321 CUE393316:CUE393321 DEA393316:DEA393321 DNW393316:DNW393321 DXS393316:DXS393321 EHO393316:EHO393321 ERK393316:ERK393321 FBG393316:FBG393321 FLC393316:FLC393321 FUY393316:FUY393321 GEU393316:GEU393321 GOQ393316:GOQ393321 GYM393316:GYM393321 HII393316:HII393321 HSE393316:HSE393321 ICA393316:ICA393321 ILW393316:ILW393321 IVS393316:IVS393321 JFO393316:JFO393321 JPK393316:JPK393321 JZG393316:JZG393321 KJC393316:KJC393321 KSY393316:KSY393321 LCU393316:LCU393321 LMQ393316:LMQ393321 LWM393316:LWM393321 MGI393316:MGI393321 MQE393316:MQE393321 NAA393316:NAA393321 NJW393316:NJW393321 NTS393316:NTS393321 ODO393316:ODO393321 ONK393316:ONK393321 OXG393316:OXG393321 PHC393316:PHC393321 PQY393316:PQY393321 QAU393316:QAU393321 QKQ393316:QKQ393321 QUM393316:QUM393321 REI393316:REI393321 ROE393316:ROE393321 RYA393316:RYA393321 SHW393316:SHW393321 SRS393316:SRS393321 TBO393316:TBO393321 TLK393316:TLK393321 TVG393316:TVG393321 UFC393316:UFC393321 UOY393316:UOY393321 UYU393316:UYU393321 VIQ393316:VIQ393321 VSM393316:VSM393321 WCI393316:WCI393321 WME393316:WME393321 WWA393316:WWA393321 S458852:S458857 JO458852:JO458857 TK458852:TK458857 ADG458852:ADG458857 ANC458852:ANC458857 AWY458852:AWY458857 BGU458852:BGU458857 BQQ458852:BQQ458857 CAM458852:CAM458857 CKI458852:CKI458857 CUE458852:CUE458857 DEA458852:DEA458857 DNW458852:DNW458857 DXS458852:DXS458857 EHO458852:EHO458857 ERK458852:ERK458857 FBG458852:FBG458857 FLC458852:FLC458857 FUY458852:FUY458857 GEU458852:GEU458857 GOQ458852:GOQ458857 GYM458852:GYM458857 HII458852:HII458857 HSE458852:HSE458857 ICA458852:ICA458857 ILW458852:ILW458857 IVS458852:IVS458857 JFO458852:JFO458857 JPK458852:JPK458857 JZG458852:JZG458857 KJC458852:KJC458857 KSY458852:KSY458857 LCU458852:LCU458857 LMQ458852:LMQ458857 LWM458852:LWM458857 MGI458852:MGI458857 MQE458852:MQE458857 NAA458852:NAA458857 NJW458852:NJW458857 NTS458852:NTS458857 ODO458852:ODO458857 ONK458852:ONK458857 OXG458852:OXG458857 PHC458852:PHC458857 PQY458852:PQY458857 QAU458852:QAU458857 QKQ458852:QKQ458857 QUM458852:QUM458857 REI458852:REI458857 ROE458852:ROE458857 RYA458852:RYA458857 SHW458852:SHW458857 SRS458852:SRS458857 TBO458852:TBO458857 TLK458852:TLK458857 TVG458852:TVG458857 UFC458852:UFC458857 UOY458852:UOY458857 UYU458852:UYU458857 VIQ458852:VIQ458857 VSM458852:VSM458857 WCI458852:WCI458857 WME458852:WME458857 WWA458852:WWA458857 S524388:S524393 JO524388:JO524393 TK524388:TK524393 ADG524388:ADG524393 ANC524388:ANC524393 AWY524388:AWY524393 BGU524388:BGU524393 BQQ524388:BQQ524393 CAM524388:CAM524393 CKI524388:CKI524393 CUE524388:CUE524393 DEA524388:DEA524393 DNW524388:DNW524393 DXS524388:DXS524393 EHO524388:EHO524393 ERK524388:ERK524393 FBG524388:FBG524393 FLC524388:FLC524393 FUY524388:FUY524393 GEU524388:GEU524393 GOQ524388:GOQ524393 GYM524388:GYM524393 HII524388:HII524393 HSE524388:HSE524393 ICA524388:ICA524393 ILW524388:ILW524393 IVS524388:IVS524393 JFO524388:JFO524393 JPK524388:JPK524393 JZG524388:JZG524393 KJC524388:KJC524393 KSY524388:KSY524393 LCU524388:LCU524393 LMQ524388:LMQ524393 LWM524388:LWM524393 MGI524388:MGI524393 MQE524388:MQE524393 NAA524388:NAA524393 NJW524388:NJW524393 NTS524388:NTS524393 ODO524388:ODO524393 ONK524388:ONK524393 OXG524388:OXG524393 PHC524388:PHC524393 PQY524388:PQY524393 QAU524388:QAU524393 QKQ524388:QKQ524393 QUM524388:QUM524393 REI524388:REI524393 ROE524388:ROE524393 RYA524388:RYA524393 SHW524388:SHW524393 SRS524388:SRS524393 TBO524388:TBO524393 TLK524388:TLK524393 TVG524388:TVG524393 UFC524388:UFC524393 UOY524388:UOY524393 UYU524388:UYU524393 VIQ524388:VIQ524393 VSM524388:VSM524393 WCI524388:WCI524393 WME524388:WME524393 WWA524388:WWA524393 S589924:S589929 JO589924:JO589929 TK589924:TK589929 ADG589924:ADG589929 ANC589924:ANC589929 AWY589924:AWY589929 BGU589924:BGU589929 BQQ589924:BQQ589929 CAM589924:CAM589929 CKI589924:CKI589929 CUE589924:CUE589929 DEA589924:DEA589929 DNW589924:DNW589929 DXS589924:DXS589929 EHO589924:EHO589929 ERK589924:ERK589929 FBG589924:FBG589929 FLC589924:FLC589929 FUY589924:FUY589929 GEU589924:GEU589929 GOQ589924:GOQ589929 GYM589924:GYM589929 HII589924:HII589929 HSE589924:HSE589929 ICA589924:ICA589929 ILW589924:ILW589929 IVS589924:IVS589929 JFO589924:JFO589929 JPK589924:JPK589929 JZG589924:JZG589929 KJC589924:KJC589929 KSY589924:KSY589929 LCU589924:LCU589929 LMQ589924:LMQ589929 LWM589924:LWM589929 MGI589924:MGI589929 MQE589924:MQE589929 NAA589924:NAA589929 NJW589924:NJW589929 NTS589924:NTS589929 ODO589924:ODO589929 ONK589924:ONK589929 OXG589924:OXG589929 PHC589924:PHC589929 PQY589924:PQY589929 QAU589924:QAU589929 QKQ589924:QKQ589929 QUM589924:QUM589929 REI589924:REI589929 ROE589924:ROE589929 RYA589924:RYA589929 SHW589924:SHW589929 SRS589924:SRS589929 TBO589924:TBO589929 TLK589924:TLK589929 TVG589924:TVG589929 UFC589924:UFC589929 UOY589924:UOY589929 UYU589924:UYU589929 VIQ589924:VIQ589929 VSM589924:VSM589929 WCI589924:WCI589929 WME589924:WME589929 WWA589924:WWA589929 S655460:S655465 JO655460:JO655465 TK655460:TK655465 ADG655460:ADG655465 ANC655460:ANC655465 AWY655460:AWY655465 BGU655460:BGU655465 BQQ655460:BQQ655465 CAM655460:CAM655465 CKI655460:CKI655465 CUE655460:CUE655465 DEA655460:DEA655465 DNW655460:DNW655465 DXS655460:DXS655465 EHO655460:EHO655465 ERK655460:ERK655465 FBG655460:FBG655465 FLC655460:FLC655465 FUY655460:FUY655465 GEU655460:GEU655465 GOQ655460:GOQ655465 GYM655460:GYM655465 HII655460:HII655465 HSE655460:HSE655465 ICA655460:ICA655465 ILW655460:ILW655465 IVS655460:IVS655465 JFO655460:JFO655465 JPK655460:JPK655465 JZG655460:JZG655465 KJC655460:KJC655465 KSY655460:KSY655465 LCU655460:LCU655465 LMQ655460:LMQ655465 LWM655460:LWM655465 MGI655460:MGI655465 MQE655460:MQE655465 NAA655460:NAA655465 NJW655460:NJW655465 NTS655460:NTS655465 ODO655460:ODO655465 ONK655460:ONK655465 OXG655460:OXG655465 PHC655460:PHC655465 PQY655460:PQY655465 QAU655460:QAU655465 QKQ655460:QKQ655465 QUM655460:QUM655465 REI655460:REI655465 ROE655460:ROE655465 RYA655460:RYA655465 SHW655460:SHW655465 SRS655460:SRS655465 TBO655460:TBO655465 TLK655460:TLK655465 TVG655460:TVG655465 UFC655460:UFC655465 UOY655460:UOY655465 UYU655460:UYU655465 VIQ655460:VIQ655465 VSM655460:VSM655465 WCI655460:WCI655465 WME655460:WME655465 WWA655460:WWA655465 S720996:S721001 JO720996:JO721001 TK720996:TK721001 ADG720996:ADG721001 ANC720996:ANC721001 AWY720996:AWY721001 BGU720996:BGU721001 BQQ720996:BQQ721001 CAM720996:CAM721001 CKI720996:CKI721001 CUE720996:CUE721001 DEA720996:DEA721001 DNW720996:DNW721001 DXS720996:DXS721001 EHO720996:EHO721001 ERK720996:ERK721001 FBG720996:FBG721001 FLC720996:FLC721001 FUY720996:FUY721001 GEU720996:GEU721001 GOQ720996:GOQ721001 GYM720996:GYM721001 HII720996:HII721001 HSE720996:HSE721001 ICA720996:ICA721001 ILW720996:ILW721001 IVS720996:IVS721001 JFO720996:JFO721001 JPK720996:JPK721001 JZG720996:JZG721001 KJC720996:KJC721001 KSY720996:KSY721001 LCU720996:LCU721001 LMQ720996:LMQ721001 LWM720996:LWM721001 MGI720996:MGI721001 MQE720996:MQE721001 NAA720996:NAA721001 NJW720996:NJW721001 NTS720996:NTS721001 ODO720996:ODO721001 ONK720996:ONK721001 OXG720996:OXG721001 PHC720996:PHC721001 PQY720996:PQY721001 QAU720996:QAU721001 QKQ720996:QKQ721001 QUM720996:QUM721001 REI720996:REI721001 ROE720996:ROE721001 RYA720996:RYA721001 SHW720996:SHW721001 SRS720996:SRS721001 TBO720996:TBO721001 TLK720996:TLK721001 TVG720996:TVG721001 UFC720996:UFC721001 UOY720996:UOY721001 UYU720996:UYU721001 VIQ720996:VIQ721001 VSM720996:VSM721001 WCI720996:WCI721001 WME720996:WME721001 WWA720996:WWA721001 S786532:S786537 JO786532:JO786537 TK786532:TK786537 ADG786532:ADG786537 ANC786532:ANC786537 AWY786532:AWY786537 BGU786532:BGU786537 BQQ786532:BQQ786537 CAM786532:CAM786537 CKI786532:CKI786537 CUE786532:CUE786537 DEA786532:DEA786537 DNW786532:DNW786537 DXS786532:DXS786537 EHO786532:EHO786537 ERK786532:ERK786537 FBG786532:FBG786537 FLC786532:FLC786537 FUY786532:FUY786537 GEU786532:GEU786537 GOQ786532:GOQ786537 GYM786532:GYM786537 HII786532:HII786537 HSE786532:HSE786537 ICA786532:ICA786537 ILW786532:ILW786537 IVS786532:IVS786537 JFO786532:JFO786537 JPK786532:JPK786537 JZG786532:JZG786537 KJC786532:KJC786537 KSY786532:KSY786537 LCU786532:LCU786537 LMQ786532:LMQ786537 LWM786532:LWM786537 MGI786532:MGI786537 MQE786532:MQE786537 NAA786532:NAA786537 NJW786532:NJW786537 NTS786532:NTS786537 ODO786532:ODO786537 ONK786532:ONK786537 OXG786532:OXG786537 PHC786532:PHC786537 PQY786532:PQY786537 QAU786532:QAU786537 QKQ786532:QKQ786537 QUM786532:QUM786537 REI786532:REI786537 ROE786532:ROE786537 RYA786532:RYA786537 SHW786532:SHW786537 SRS786532:SRS786537 TBO786532:TBO786537 TLK786532:TLK786537 TVG786532:TVG786537 UFC786532:UFC786537 UOY786532:UOY786537 UYU786532:UYU786537 VIQ786532:VIQ786537 VSM786532:VSM786537 WCI786532:WCI786537 WME786532:WME786537 WWA786532:WWA786537 S852068:S852073 JO852068:JO852073 TK852068:TK852073 ADG852068:ADG852073 ANC852068:ANC852073 AWY852068:AWY852073 BGU852068:BGU852073 BQQ852068:BQQ852073 CAM852068:CAM852073 CKI852068:CKI852073 CUE852068:CUE852073 DEA852068:DEA852073 DNW852068:DNW852073 DXS852068:DXS852073 EHO852068:EHO852073 ERK852068:ERK852073 FBG852068:FBG852073 FLC852068:FLC852073 FUY852068:FUY852073 GEU852068:GEU852073 GOQ852068:GOQ852073 GYM852068:GYM852073 HII852068:HII852073 HSE852068:HSE852073 ICA852068:ICA852073 ILW852068:ILW852073 IVS852068:IVS852073 JFO852068:JFO852073 JPK852068:JPK852073 JZG852068:JZG852073 KJC852068:KJC852073 KSY852068:KSY852073 LCU852068:LCU852073 LMQ852068:LMQ852073 LWM852068:LWM852073 MGI852068:MGI852073 MQE852068:MQE852073 NAA852068:NAA852073 NJW852068:NJW852073 NTS852068:NTS852073 ODO852068:ODO852073 ONK852068:ONK852073 OXG852068:OXG852073 PHC852068:PHC852073 PQY852068:PQY852073 QAU852068:QAU852073 QKQ852068:QKQ852073 QUM852068:QUM852073 REI852068:REI852073 ROE852068:ROE852073 RYA852068:RYA852073 SHW852068:SHW852073 SRS852068:SRS852073 TBO852068:TBO852073 TLK852068:TLK852073 TVG852068:TVG852073 UFC852068:UFC852073 UOY852068:UOY852073 UYU852068:UYU852073 VIQ852068:VIQ852073 VSM852068:VSM852073 WCI852068:WCI852073 WME852068:WME852073 WWA852068:WWA852073 S917604:S917609 JO917604:JO917609 TK917604:TK917609 ADG917604:ADG917609 ANC917604:ANC917609 AWY917604:AWY917609 BGU917604:BGU917609 BQQ917604:BQQ917609 CAM917604:CAM917609 CKI917604:CKI917609 CUE917604:CUE917609 DEA917604:DEA917609 DNW917604:DNW917609 DXS917604:DXS917609 EHO917604:EHO917609 ERK917604:ERK917609 FBG917604:FBG917609 FLC917604:FLC917609 FUY917604:FUY917609 GEU917604:GEU917609 GOQ917604:GOQ917609 GYM917604:GYM917609 HII917604:HII917609 HSE917604:HSE917609 ICA917604:ICA917609 ILW917604:ILW917609 IVS917604:IVS917609 JFO917604:JFO917609 JPK917604:JPK917609 JZG917604:JZG917609 KJC917604:KJC917609 KSY917604:KSY917609 LCU917604:LCU917609 LMQ917604:LMQ917609 LWM917604:LWM917609 MGI917604:MGI917609 MQE917604:MQE917609 NAA917604:NAA917609 NJW917604:NJW917609 NTS917604:NTS917609 ODO917604:ODO917609 ONK917604:ONK917609 OXG917604:OXG917609 PHC917604:PHC917609 PQY917604:PQY917609 QAU917604:QAU917609 QKQ917604:QKQ917609 QUM917604:QUM917609 REI917604:REI917609 ROE917604:ROE917609 RYA917604:RYA917609 SHW917604:SHW917609 SRS917604:SRS917609 TBO917604:TBO917609 TLK917604:TLK917609 TVG917604:TVG917609 UFC917604:UFC917609 UOY917604:UOY917609 UYU917604:UYU917609 VIQ917604:VIQ917609 VSM917604:VSM917609 WCI917604:WCI917609 WME917604:WME917609 WWA917604:WWA917609 S983140:S983145 JO983140:JO983145 TK983140:TK983145 ADG983140:ADG983145 ANC983140:ANC983145 AWY983140:AWY983145 BGU983140:BGU983145 BQQ983140:BQQ983145 CAM983140:CAM983145 CKI983140:CKI983145 CUE983140:CUE983145 DEA983140:DEA983145 DNW983140:DNW983145 DXS983140:DXS983145 EHO983140:EHO983145 ERK983140:ERK983145 FBG983140:FBG983145 FLC983140:FLC983145 FUY983140:FUY983145 GEU983140:GEU983145 GOQ983140:GOQ983145 GYM983140:GYM983145 HII983140:HII983145 HSE983140:HSE983145 ICA983140:ICA983145 ILW983140:ILW983145 IVS983140:IVS983145 JFO983140:JFO983145 JPK983140:JPK983145 JZG983140:JZG983145 KJC983140:KJC983145 KSY983140:KSY983145 LCU983140:LCU983145 LMQ983140:LMQ983145 LWM983140:LWM983145 MGI983140:MGI983145 MQE983140:MQE983145 NAA983140:NAA983145 NJW983140:NJW983145 NTS983140:NTS983145 ODO983140:ODO983145 ONK983140:ONK983145 OXG983140:OXG983145 PHC983140:PHC983145 PQY983140:PQY983145 QAU983140:QAU983145 QKQ983140:QKQ983145 QUM983140:QUM983145 REI983140:REI983145 ROE983140:ROE983145 RYA983140:RYA983145 SHW983140:SHW983145 SRS983140:SRS983145 TBO983140:TBO983145 TLK983140:TLK983145 TVG983140:TVG983145 UFC983140:UFC983145 UOY983140:UOY983145 UYU983140:UYU983145 VIQ983140:VIQ983145 VSM983140:VSM983145 WCI983140:WCI983145 WME983140:WME983145 WWA983140:WWA983145 S202:S207" xr:uid="{00000000-0002-0000-0100-000005000000}">
      <formula1>0</formula1>
      <formula2>1</formula2>
    </dataValidation>
  </dataValidations>
  <printOptions horizontalCentered="1"/>
  <pageMargins left="0.51181102362204722" right="0.51181102362204722" top="0.98425196850393704" bottom="0.78740157480314965" header="0.31496062992125984" footer="0.31496062992125984"/>
  <pageSetup paperSize="9" scale="85" orientation="portrait" verticalDpi="0" r:id="rId1"/>
  <headerFooter>
    <oddHeader>&amp;L&amp;G&amp;R&amp;G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487A-A9B5-406C-A5F9-5E009CAE83FC}">
  <dimension ref="A1:H77"/>
  <sheetViews>
    <sheetView workbookViewId="0">
      <selection activeCell="A2" sqref="A2:H2"/>
    </sheetView>
  </sheetViews>
  <sheetFormatPr defaultRowHeight="14.4" x14ac:dyDescent="0.3"/>
  <cols>
    <col min="1" max="1" width="11.109375" style="49" bestFit="1" customWidth="1"/>
    <col min="2" max="2" width="13.33203125" style="49" bestFit="1" customWidth="1"/>
    <col min="3" max="3" width="11.109375" style="49" bestFit="1" customWidth="1"/>
    <col min="4" max="4" width="66.6640625" style="49" bestFit="1" customWidth="1"/>
    <col min="5" max="7" width="13.33203125" style="49" bestFit="1" customWidth="1"/>
    <col min="8" max="9" width="15.5546875" style="49" bestFit="1" customWidth="1"/>
    <col min="10" max="16384" width="8.88671875" style="49"/>
  </cols>
  <sheetData>
    <row r="1" spans="1:8" x14ac:dyDescent="0.3">
      <c r="A1" s="327"/>
    </row>
    <row r="2" spans="1:8" ht="17.399999999999999" x14ac:dyDescent="0.3">
      <c r="A2" s="404" t="s">
        <v>692</v>
      </c>
      <c r="B2" s="405"/>
      <c r="C2" s="405"/>
      <c r="D2" s="405"/>
      <c r="E2" s="405"/>
      <c r="F2" s="405"/>
      <c r="G2" s="405"/>
      <c r="H2" s="406"/>
    </row>
    <row r="3" spans="1:8" x14ac:dyDescent="0.3">
      <c r="A3" s="215"/>
      <c r="B3" s="215"/>
      <c r="C3" s="215"/>
      <c r="D3" s="215"/>
      <c r="E3" s="216"/>
      <c r="F3" s="216"/>
      <c r="G3" s="216"/>
      <c r="H3" s="116"/>
    </row>
    <row r="4" spans="1:8" x14ac:dyDescent="0.3">
      <c r="A4" s="217" t="s">
        <v>693</v>
      </c>
      <c r="B4" s="218"/>
      <c r="C4" s="219"/>
      <c r="D4" s="219"/>
      <c r="E4" s="220" t="s">
        <v>685</v>
      </c>
      <c r="F4" s="221"/>
      <c r="G4" s="221"/>
      <c r="H4" s="222"/>
    </row>
    <row r="5" spans="1:8" x14ac:dyDescent="0.3">
      <c r="A5" s="217" t="s">
        <v>686</v>
      </c>
      <c r="B5" s="218"/>
      <c r="C5" s="218"/>
      <c r="D5" s="223"/>
      <c r="E5" s="220" t="s">
        <v>687</v>
      </c>
      <c r="F5" s="224"/>
      <c r="G5" s="224"/>
      <c r="H5" s="222"/>
    </row>
    <row r="6" spans="1:8" x14ac:dyDescent="0.3">
      <c r="A6" s="217" t="s">
        <v>694</v>
      </c>
      <c r="B6" s="218"/>
      <c r="C6" s="219"/>
      <c r="D6" s="223"/>
      <c r="E6" s="220" t="s">
        <v>688</v>
      </c>
      <c r="F6" s="224"/>
      <c r="G6" s="216"/>
      <c r="H6" s="222"/>
    </row>
    <row r="7" spans="1:8" x14ac:dyDescent="0.3">
      <c r="A7" s="217" t="s">
        <v>690</v>
      </c>
      <c r="B7" s="218"/>
      <c r="C7" s="219"/>
      <c r="D7" s="223"/>
      <c r="E7" s="220" t="s">
        <v>689</v>
      </c>
      <c r="F7" s="224"/>
      <c r="G7" s="216"/>
      <c r="H7" s="222"/>
    </row>
    <row r="8" spans="1:8" x14ac:dyDescent="0.3">
      <c r="A8" s="225" t="s">
        <v>691</v>
      </c>
      <c r="B8" s="218"/>
      <c r="C8" s="219"/>
      <c r="D8" s="223"/>
      <c r="E8" s="225"/>
      <c r="F8" s="224"/>
      <c r="G8" s="226"/>
      <c r="H8" s="222"/>
    </row>
    <row r="9" spans="1:8" ht="15" thickBot="1" x14ac:dyDescent="0.35">
      <c r="A9" s="327"/>
    </row>
    <row r="10" spans="1:8" ht="18" customHeight="1" thickTop="1" x14ac:dyDescent="0.3">
      <c r="A10" s="230" t="s">
        <v>403</v>
      </c>
      <c r="B10" s="230" t="s">
        <v>158</v>
      </c>
      <c r="C10" s="230" t="s">
        <v>159</v>
      </c>
      <c r="D10" s="339" t="s">
        <v>160</v>
      </c>
      <c r="E10" s="230" t="s">
        <v>161</v>
      </c>
      <c r="F10" s="230" t="s">
        <v>162</v>
      </c>
      <c r="G10" s="230" t="s">
        <v>163</v>
      </c>
      <c r="H10" s="230" t="s">
        <v>165</v>
      </c>
    </row>
    <row r="11" spans="1:8" ht="24" customHeight="1" x14ac:dyDescent="0.3">
      <c r="A11" s="228" t="s">
        <v>661</v>
      </c>
      <c r="B11" s="228" t="s">
        <v>404</v>
      </c>
      <c r="C11" s="228" t="s">
        <v>169</v>
      </c>
      <c r="D11" s="229" t="s">
        <v>179</v>
      </c>
      <c r="E11" s="228" t="s">
        <v>95</v>
      </c>
      <c r="F11" s="328">
        <v>1</v>
      </c>
      <c r="G11" s="329">
        <v>396.09</v>
      </c>
      <c r="H11" s="329">
        <v>396.09</v>
      </c>
    </row>
    <row r="12" spans="1:8" ht="24" customHeight="1" x14ac:dyDescent="0.3">
      <c r="A12" s="330" t="s">
        <v>662</v>
      </c>
      <c r="B12" s="330" t="s">
        <v>663</v>
      </c>
      <c r="C12" s="330" t="s">
        <v>7</v>
      </c>
      <c r="D12" s="331" t="s">
        <v>94</v>
      </c>
      <c r="E12" s="330" t="s">
        <v>102</v>
      </c>
      <c r="F12" s="332">
        <v>1</v>
      </c>
      <c r="G12" s="333">
        <v>25</v>
      </c>
      <c r="H12" s="333">
        <v>25</v>
      </c>
    </row>
    <row r="13" spans="1:8" ht="24" customHeight="1" x14ac:dyDescent="0.3">
      <c r="A13" s="330" t="s">
        <v>662</v>
      </c>
      <c r="B13" s="330" t="s">
        <v>664</v>
      </c>
      <c r="C13" s="330" t="s">
        <v>7</v>
      </c>
      <c r="D13" s="331" t="s">
        <v>98</v>
      </c>
      <c r="E13" s="330" t="s">
        <v>102</v>
      </c>
      <c r="F13" s="332">
        <v>2</v>
      </c>
      <c r="G13" s="333">
        <v>20.420000000000002</v>
      </c>
      <c r="H13" s="333">
        <v>40.840000000000003</v>
      </c>
    </row>
    <row r="14" spans="1:8" ht="39" customHeight="1" x14ac:dyDescent="0.3">
      <c r="A14" s="330" t="s">
        <v>662</v>
      </c>
      <c r="B14" s="330" t="s">
        <v>665</v>
      </c>
      <c r="C14" s="330" t="s">
        <v>7</v>
      </c>
      <c r="D14" s="331" t="s">
        <v>666</v>
      </c>
      <c r="E14" s="330" t="s">
        <v>11</v>
      </c>
      <c r="F14" s="332">
        <v>0.01</v>
      </c>
      <c r="G14" s="333">
        <v>399.49</v>
      </c>
      <c r="H14" s="333">
        <v>3.99</v>
      </c>
    </row>
    <row r="15" spans="1:8" ht="25.95" customHeight="1" x14ac:dyDescent="0.3">
      <c r="A15" s="330" t="s">
        <v>667</v>
      </c>
      <c r="B15" s="330" t="s">
        <v>668</v>
      </c>
      <c r="C15" s="330" t="s">
        <v>7</v>
      </c>
      <c r="D15" s="331" t="s">
        <v>669</v>
      </c>
      <c r="E15" s="330" t="s">
        <v>97</v>
      </c>
      <c r="F15" s="332">
        <v>1</v>
      </c>
      <c r="G15" s="333">
        <v>8.43</v>
      </c>
      <c r="H15" s="333">
        <v>8.43</v>
      </c>
    </row>
    <row r="16" spans="1:8" ht="25.95" customHeight="1" x14ac:dyDescent="0.3">
      <c r="A16" s="330" t="s">
        <v>667</v>
      </c>
      <c r="B16" s="330" t="s">
        <v>670</v>
      </c>
      <c r="C16" s="330" t="s">
        <v>7</v>
      </c>
      <c r="D16" s="331" t="s">
        <v>671</v>
      </c>
      <c r="E16" s="330" t="s">
        <v>97</v>
      </c>
      <c r="F16" s="332">
        <v>4</v>
      </c>
      <c r="G16" s="333">
        <v>10.15</v>
      </c>
      <c r="H16" s="333">
        <v>40.6</v>
      </c>
    </row>
    <row r="17" spans="1:8" ht="39" customHeight="1" x14ac:dyDescent="0.3">
      <c r="A17" s="330" t="s">
        <v>667</v>
      </c>
      <c r="B17" s="330" t="s">
        <v>672</v>
      </c>
      <c r="C17" s="330" t="s">
        <v>7</v>
      </c>
      <c r="D17" s="331" t="s">
        <v>673</v>
      </c>
      <c r="E17" s="330" t="s">
        <v>8</v>
      </c>
      <c r="F17" s="332">
        <v>1</v>
      </c>
      <c r="G17" s="333">
        <v>275</v>
      </c>
      <c r="H17" s="333">
        <v>275</v>
      </c>
    </row>
    <row r="18" spans="1:8" ht="25.95" customHeight="1" x14ac:dyDescent="0.3">
      <c r="A18" s="330" t="s">
        <v>667</v>
      </c>
      <c r="B18" s="330" t="s">
        <v>674</v>
      </c>
      <c r="C18" s="330" t="s">
        <v>7</v>
      </c>
      <c r="D18" s="331" t="s">
        <v>675</v>
      </c>
      <c r="E18" s="330" t="s">
        <v>96</v>
      </c>
      <c r="F18" s="332">
        <v>0.11</v>
      </c>
      <c r="G18" s="333">
        <v>20.34</v>
      </c>
      <c r="H18" s="333">
        <v>2.23</v>
      </c>
    </row>
    <row r="19" spans="1:8" x14ac:dyDescent="0.3">
      <c r="A19" s="334"/>
      <c r="B19" s="334"/>
      <c r="C19" s="334"/>
      <c r="D19" s="334"/>
      <c r="E19" s="334"/>
      <c r="F19" s="403" t="s">
        <v>676</v>
      </c>
      <c r="G19" s="403"/>
      <c r="H19" s="335">
        <v>81.59</v>
      </c>
    </row>
    <row r="20" spans="1:8" ht="15" thickBot="1" x14ac:dyDescent="0.35">
      <c r="A20" s="334"/>
      <c r="B20" s="334"/>
      <c r="C20" s="334"/>
      <c r="D20" s="334"/>
      <c r="E20" s="334"/>
      <c r="F20" s="402" t="s">
        <v>677</v>
      </c>
      <c r="G20" s="402"/>
      <c r="H20" s="335">
        <v>477.68</v>
      </c>
    </row>
    <row r="21" spans="1:8" ht="1.05" customHeight="1" thickTop="1" x14ac:dyDescent="0.3">
      <c r="A21" s="336"/>
      <c r="B21" s="336"/>
      <c r="C21" s="336"/>
      <c r="D21" s="336"/>
      <c r="E21" s="336"/>
      <c r="F21" s="336"/>
      <c r="G21" s="336"/>
      <c r="H21" s="336"/>
    </row>
    <row r="22" spans="1:8" ht="18" customHeight="1" x14ac:dyDescent="0.3">
      <c r="A22" s="227" t="s">
        <v>175</v>
      </c>
      <c r="B22" s="227" t="s">
        <v>158</v>
      </c>
      <c r="C22" s="227" t="s">
        <v>159</v>
      </c>
      <c r="D22" s="338" t="s">
        <v>160</v>
      </c>
      <c r="E22" s="227" t="s">
        <v>161</v>
      </c>
      <c r="F22" s="227" t="s">
        <v>162</v>
      </c>
      <c r="G22" s="227" t="s">
        <v>163</v>
      </c>
      <c r="H22" s="227" t="s">
        <v>165</v>
      </c>
    </row>
    <row r="23" spans="1:8" ht="25.95" customHeight="1" x14ac:dyDescent="0.3">
      <c r="A23" s="228" t="s">
        <v>661</v>
      </c>
      <c r="B23" s="228" t="s">
        <v>408</v>
      </c>
      <c r="C23" s="228" t="s">
        <v>169</v>
      </c>
      <c r="D23" s="229" t="s">
        <v>409</v>
      </c>
      <c r="E23" s="228" t="s">
        <v>95</v>
      </c>
      <c r="F23" s="328">
        <v>1</v>
      </c>
      <c r="G23" s="329">
        <v>158.86000000000001</v>
      </c>
      <c r="H23" s="329">
        <v>158.86000000000001</v>
      </c>
    </row>
    <row r="24" spans="1:8" ht="24" customHeight="1" x14ac:dyDescent="0.3">
      <c r="A24" s="330" t="s">
        <v>662</v>
      </c>
      <c r="B24" s="330" t="s">
        <v>678</v>
      </c>
      <c r="C24" s="330" t="s">
        <v>7</v>
      </c>
      <c r="D24" s="331" t="s">
        <v>103</v>
      </c>
      <c r="E24" s="330" t="s">
        <v>102</v>
      </c>
      <c r="F24" s="332">
        <v>2.4</v>
      </c>
      <c r="G24" s="333">
        <v>25.38</v>
      </c>
      <c r="H24" s="333">
        <v>60.91</v>
      </c>
    </row>
    <row r="25" spans="1:8" ht="24" customHeight="1" x14ac:dyDescent="0.3">
      <c r="A25" s="330" t="s">
        <v>662</v>
      </c>
      <c r="B25" s="330" t="s">
        <v>664</v>
      </c>
      <c r="C25" s="330" t="s">
        <v>7</v>
      </c>
      <c r="D25" s="331" t="s">
        <v>98</v>
      </c>
      <c r="E25" s="330" t="s">
        <v>102</v>
      </c>
      <c r="F25" s="332">
        <v>2.61</v>
      </c>
      <c r="G25" s="333">
        <v>20.420000000000002</v>
      </c>
      <c r="H25" s="333">
        <v>53.29</v>
      </c>
    </row>
    <row r="26" spans="1:8" ht="25.95" customHeight="1" x14ac:dyDescent="0.3">
      <c r="A26" s="330" t="s">
        <v>667</v>
      </c>
      <c r="B26" s="330" t="s">
        <v>679</v>
      </c>
      <c r="C26" s="330" t="s">
        <v>7</v>
      </c>
      <c r="D26" s="331" t="s">
        <v>680</v>
      </c>
      <c r="E26" s="330" t="s">
        <v>11</v>
      </c>
      <c r="F26" s="332">
        <v>3.7999999999999999E-2</v>
      </c>
      <c r="G26" s="333">
        <v>130</v>
      </c>
      <c r="H26" s="333">
        <v>4.9400000000000004</v>
      </c>
    </row>
    <row r="27" spans="1:8" ht="24" customHeight="1" x14ac:dyDescent="0.3">
      <c r="A27" s="330" t="s">
        <v>667</v>
      </c>
      <c r="B27" s="330" t="s">
        <v>681</v>
      </c>
      <c r="C27" s="330" t="s">
        <v>7</v>
      </c>
      <c r="D27" s="331" t="s">
        <v>682</v>
      </c>
      <c r="E27" s="330" t="s">
        <v>96</v>
      </c>
      <c r="F27" s="332">
        <v>6.75</v>
      </c>
      <c r="G27" s="333">
        <v>0.7</v>
      </c>
      <c r="H27" s="333">
        <v>4.72</v>
      </c>
    </row>
    <row r="28" spans="1:8" ht="39" customHeight="1" x14ac:dyDescent="0.3">
      <c r="A28" s="330" t="s">
        <v>667</v>
      </c>
      <c r="B28" s="330" t="s">
        <v>683</v>
      </c>
      <c r="C28" s="330" t="s">
        <v>7</v>
      </c>
      <c r="D28" s="331" t="s">
        <v>684</v>
      </c>
      <c r="E28" s="330" t="s">
        <v>198</v>
      </c>
      <c r="F28" s="332">
        <v>70</v>
      </c>
      <c r="G28" s="333">
        <v>0.5</v>
      </c>
      <c r="H28" s="333">
        <v>35</v>
      </c>
    </row>
    <row r="29" spans="1:8" x14ac:dyDescent="0.3">
      <c r="A29" s="334"/>
      <c r="B29" s="334"/>
      <c r="C29" s="334"/>
      <c r="D29" s="334"/>
      <c r="E29" s="334"/>
      <c r="F29" s="403" t="s">
        <v>676</v>
      </c>
      <c r="G29" s="403"/>
      <c r="H29" s="335">
        <v>32.72</v>
      </c>
    </row>
    <row r="30" spans="1:8" ht="15" thickBot="1" x14ac:dyDescent="0.35">
      <c r="A30" s="334"/>
      <c r="B30" s="334"/>
      <c r="C30" s="334"/>
      <c r="D30" s="334"/>
      <c r="E30" s="334"/>
      <c r="F30" s="402" t="s">
        <v>677</v>
      </c>
      <c r="G30" s="402"/>
      <c r="H30" s="335">
        <v>191.58</v>
      </c>
    </row>
    <row r="31" spans="1:8" ht="1.05" customHeight="1" thickTop="1" x14ac:dyDescent="0.3">
      <c r="A31" s="336"/>
      <c r="B31" s="336"/>
      <c r="C31" s="336"/>
      <c r="D31" s="336"/>
      <c r="E31" s="336"/>
      <c r="F31" s="336"/>
      <c r="G31" s="336"/>
      <c r="H31" s="336"/>
    </row>
    <row r="32" spans="1:8" ht="18" customHeight="1" x14ac:dyDescent="0.3">
      <c r="A32" s="227" t="s">
        <v>799</v>
      </c>
      <c r="B32" s="227" t="s">
        <v>158</v>
      </c>
      <c r="C32" s="227" t="s">
        <v>159</v>
      </c>
      <c r="D32" s="338" t="s">
        <v>160</v>
      </c>
      <c r="E32" s="227" t="s">
        <v>161</v>
      </c>
      <c r="F32" s="227" t="s">
        <v>162</v>
      </c>
      <c r="G32" s="227" t="s">
        <v>163</v>
      </c>
      <c r="H32" s="227" t="s">
        <v>165</v>
      </c>
    </row>
    <row r="33" spans="1:8" ht="52.05" customHeight="1" x14ac:dyDescent="0.3">
      <c r="A33" s="228" t="s">
        <v>661</v>
      </c>
      <c r="B33" s="228" t="s">
        <v>800</v>
      </c>
      <c r="C33" s="228" t="s">
        <v>169</v>
      </c>
      <c r="D33" s="229" t="s">
        <v>744</v>
      </c>
      <c r="E33" s="228" t="s">
        <v>97</v>
      </c>
      <c r="F33" s="328">
        <v>1</v>
      </c>
      <c r="G33" s="329">
        <v>63.99</v>
      </c>
      <c r="H33" s="329">
        <v>63.99</v>
      </c>
    </row>
    <row r="34" spans="1:8" ht="25.95" customHeight="1" x14ac:dyDescent="0.3">
      <c r="A34" s="330" t="s">
        <v>662</v>
      </c>
      <c r="B34" s="330" t="s">
        <v>1009</v>
      </c>
      <c r="C34" s="330" t="s">
        <v>7</v>
      </c>
      <c r="D34" s="331" t="s">
        <v>742</v>
      </c>
      <c r="E34" s="330" t="s">
        <v>102</v>
      </c>
      <c r="F34" s="332">
        <v>0.115</v>
      </c>
      <c r="G34" s="333">
        <v>20</v>
      </c>
      <c r="H34" s="333">
        <v>2.2999999999999998</v>
      </c>
    </row>
    <row r="35" spans="1:8" ht="24" customHeight="1" x14ac:dyDescent="0.3">
      <c r="A35" s="330" t="s">
        <v>662</v>
      </c>
      <c r="B35" s="330" t="s">
        <v>1010</v>
      </c>
      <c r="C35" s="330" t="s">
        <v>7</v>
      </c>
      <c r="D35" s="331" t="s">
        <v>743</v>
      </c>
      <c r="E35" s="330" t="s">
        <v>102</v>
      </c>
      <c r="F35" s="332">
        <v>0.115</v>
      </c>
      <c r="G35" s="333">
        <v>25.69</v>
      </c>
      <c r="H35" s="333">
        <v>2.95</v>
      </c>
    </row>
    <row r="36" spans="1:8" ht="39" customHeight="1" x14ac:dyDescent="0.3">
      <c r="A36" s="330" t="s">
        <v>667</v>
      </c>
      <c r="B36" s="330" t="s">
        <v>1011</v>
      </c>
      <c r="C36" s="330" t="s">
        <v>7</v>
      </c>
      <c r="D36" s="331" t="s">
        <v>746</v>
      </c>
      <c r="E36" s="330" t="s">
        <v>97</v>
      </c>
      <c r="F36" s="332">
        <v>1.19</v>
      </c>
      <c r="G36" s="333">
        <v>49.3</v>
      </c>
      <c r="H36" s="333">
        <v>58.66</v>
      </c>
    </row>
    <row r="37" spans="1:8" ht="25.95" customHeight="1" x14ac:dyDescent="0.3">
      <c r="A37" s="330" t="s">
        <v>667</v>
      </c>
      <c r="B37" s="330" t="s">
        <v>1012</v>
      </c>
      <c r="C37" s="330" t="s">
        <v>7</v>
      </c>
      <c r="D37" s="331" t="s">
        <v>741</v>
      </c>
      <c r="E37" s="330" t="s">
        <v>198</v>
      </c>
      <c r="F37" s="332">
        <v>8.9999999999999993E-3</v>
      </c>
      <c r="G37" s="333">
        <v>9.5399999999999991</v>
      </c>
      <c r="H37" s="333">
        <v>0.08</v>
      </c>
    </row>
    <row r="38" spans="1:8" x14ac:dyDescent="0.3">
      <c r="A38" s="334"/>
      <c r="B38" s="334"/>
      <c r="C38" s="334"/>
      <c r="D38" s="334"/>
      <c r="E38" s="334"/>
      <c r="F38" s="403" t="s">
        <v>676</v>
      </c>
      <c r="G38" s="403"/>
      <c r="H38" s="335">
        <v>13.18</v>
      </c>
    </row>
    <row r="39" spans="1:8" ht="15" thickBot="1" x14ac:dyDescent="0.35">
      <c r="A39" s="334"/>
      <c r="B39" s="334"/>
      <c r="C39" s="334"/>
      <c r="D39" s="334"/>
      <c r="E39" s="334"/>
      <c r="F39" s="402" t="s">
        <v>677</v>
      </c>
      <c r="G39" s="402"/>
      <c r="H39" s="335">
        <v>77.17</v>
      </c>
    </row>
    <row r="40" spans="1:8" ht="1.05" customHeight="1" thickTop="1" x14ac:dyDescent="0.3">
      <c r="A40" s="336"/>
      <c r="B40" s="336"/>
      <c r="C40" s="336"/>
      <c r="D40" s="336"/>
      <c r="E40" s="336"/>
      <c r="F40" s="336"/>
      <c r="G40" s="336"/>
      <c r="H40" s="336"/>
    </row>
    <row r="41" spans="1:8" ht="18" customHeight="1" x14ac:dyDescent="0.3">
      <c r="A41" s="227" t="s">
        <v>801</v>
      </c>
      <c r="B41" s="227" t="s">
        <v>158</v>
      </c>
      <c r="C41" s="227" t="s">
        <v>159</v>
      </c>
      <c r="D41" s="338" t="s">
        <v>160</v>
      </c>
      <c r="E41" s="227" t="s">
        <v>161</v>
      </c>
      <c r="F41" s="227" t="s">
        <v>162</v>
      </c>
      <c r="G41" s="227" t="s">
        <v>163</v>
      </c>
      <c r="H41" s="227" t="s">
        <v>165</v>
      </c>
    </row>
    <row r="42" spans="1:8" ht="52.05" customHeight="1" x14ac:dyDescent="0.3">
      <c r="A42" s="228" t="s">
        <v>661</v>
      </c>
      <c r="B42" s="228" t="s">
        <v>802</v>
      </c>
      <c r="C42" s="228" t="s">
        <v>169</v>
      </c>
      <c r="D42" s="229" t="s">
        <v>749</v>
      </c>
      <c r="E42" s="228" t="s">
        <v>97</v>
      </c>
      <c r="F42" s="328">
        <v>1</v>
      </c>
      <c r="G42" s="329">
        <v>40.43</v>
      </c>
      <c r="H42" s="329">
        <v>40.43</v>
      </c>
    </row>
    <row r="43" spans="1:8" ht="25.95" customHeight="1" x14ac:dyDescent="0.3">
      <c r="A43" s="330" t="s">
        <v>662</v>
      </c>
      <c r="B43" s="330" t="s">
        <v>1009</v>
      </c>
      <c r="C43" s="330" t="s">
        <v>7</v>
      </c>
      <c r="D43" s="331" t="s">
        <v>742</v>
      </c>
      <c r="E43" s="330" t="s">
        <v>102</v>
      </c>
      <c r="F43" s="332">
        <v>7.6999999999999999E-2</v>
      </c>
      <c r="G43" s="333">
        <v>20</v>
      </c>
      <c r="H43" s="333">
        <v>1.54</v>
      </c>
    </row>
    <row r="44" spans="1:8" ht="24" customHeight="1" x14ac:dyDescent="0.3">
      <c r="A44" s="330" t="s">
        <v>662</v>
      </c>
      <c r="B44" s="330" t="s">
        <v>1010</v>
      </c>
      <c r="C44" s="330" t="s">
        <v>7</v>
      </c>
      <c r="D44" s="331" t="s">
        <v>743</v>
      </c>
      <c r="E44" s="330" t="s">
        <v>102</v>
      </c>
      <c r="F44" s="332">
        <v>7.6999999999999999E-2</v>
      </c>
      <c r="G44" s="333">
        <v>25.69</v>
      </c>
      <c r="H44" s="333">
        <v>1.97</v>
      </c>
    </row>
    <row r="45" spans="1:8" ht="39" customHeight="1" x14ac:dyDescent="0.3">
      <c r="A45" s="330" t="s">
        <v>667</v>
      </c>
      <c r="B45" s="330" t="s">
        <v>1013</v>
      </c>
      <c r="C45" s="330" t="s">
        <v>7</v>
      </c>
      <c r="D45" s="331" t="s">
        <v>748</v>
      </c>
      <c r="E45" s="330" t="s">
        <v>97</v>
      </c>
      <c r="F45" s="332">
        <v>1.19</v>
      </c>
      <c r="G45" s="333">
        <v>30.96</v>
      </c>
      <c r="H45" s="333">
        <v>36.840000000000003</v>
      </c>
    </row>
    <row r="46" spans="1:8" ht="25.95" customHeight="1" x14ac:dyDescent="0.3">
      <c r="A46" s="330" t="s">
        <v>667</v>
      </c>
      <c r="B46" s="330" t="s">
        <v>1012</v>
      </c>
      <c r="C46" s="330" t="s">
        <v>7</v>
      </c>
      <c r="D46" s="331" t="s">
        <v>741</v>
      </c>
      <c r="E46" s="330" t="s">
        <v>198</v>
      </c>
      <c r="F46" s="332">
        <v>8.9999999999999993E-3</v>
      </c>
      <c r="G46" s="333">
        <v>9.5399999999999991</v>
      </c>
      <c r="H46" s="333">
        <v>0.08</v>
      </c>
    </row>
    <row r="47" spans="1:8" x14ac:dyDescent="0.3">
      <c r="A47" s="334"/>
      <c r="B47" s="334"/>
      <c r="C47" s="334"/>
      <c r="D47" s="334"/>
      <c r="E47" s="334"/>
      <c r="F47" s="403" t="s">
        <v>676</v>
      </c>
      <c r="G47" s="403"/>
      <c r="H47" s="335">
        <v>8.32</v>
      </c>
    </row>
    <row r="48" spans="1:8" ht="15" thickBot="1" x14ac:dyDescent="0.35">
      <c r="A48" s="334"/>
      <c r="B48" s="334"/>
      <c r="C48" s="334"/>
      <c r="D48" s="334"/>
      <c r="E48" s="334"/>
      <c r="F48" s="402" t="s">
        <v>677</v>
      </c>
      <c r="G48" s="402"/>
      <c r="H48" s="335">
        <v>48.75</v>
      </c>
    </row>
    <row r="49" spans="1:8" ht="1.05" customHeight="1" thickTop="1" x14ac:dyDescent="0.3">
      <c r="A49" s="336"/>
      <c r="B49" s="336"/>
      <c r="C49" s="336"/>
      <c r="D49" s="336"/>
      <c r="E49" s="336"/>
      <c r="F49" s="336"/>
      <c r="G49" s="336"/>
      <c r="H49" s="336"/>
    </row>
    <row r="50" spans="1:8" ht="18" customHeight="1" x14ac:dyDescent="0.3">
      <c r="A50" s="227" t="s">
        <v>803</v>
      </c>
      <c r="B50" s="227" t="s">
        <v>158</v>
      </c>
      <c r="C50" s="227" t="s">
        <v>159</v>
      </c>
      <c r="D50" s="338" t="s">
        <v>160</v>
      </c>
      <c r="E50" s="227" t="s">
        <v>161</v>
      </c>
      <c r="F50" s="227" t="s">
        <v>162</v>
      </c>
      <c r="G50" s="227" t="s">
        <v>163</v>
      </c>
      <c r="H50" s="227" t="s">
        <v>165</v>
      </c>
    </row>
    <row r="51" spans="1:8" ht="52.05" customHeight="1" x14ac:dyDescent="0.3">
      <c r="A51" s="229" t="s">
        <v>661</v>
      </c>
      <c r="B51" s="337" t="s">
        <v>804</v>
      </c>
      <c r="C51" s="229" t="s">
        <v>169</v>
      </c>
      <c r="D51" s="229" t="s">
        <v>752</v>
      </c>
      <c r="E51" s="228" t="s">
        <v>97</v>
      </c>
      <c r="F51" s="328">
        <v>1</v>
      </c>
      <c r="G51" s="329">
        <v>25.3</v>
      </c>
      <c r="H51" s="329">
        <v>25.3</v>
      </c>
    </row>
    <row r="52" spans="1:8" ht="25.95" customHeight="1" x14ac:dyDescent="0.3">
      <c r="A52" s="330" t="s">
        <v>662</v>
      </c>
      <c r="B52" s="330" t="s">
        <v>1009</v>
      </c>
      <c r="C52" s="330" t="s">
        <v>7</v>
      </c>
      <c r="D52" s="331" t="s">
        <v>742</v>
      </c>
      <c r="E52" s="330" t="s">
        <v>102</v>
      </c>
      <c r="F52" s="332">
        <v>5.1999999999999998E-2</v>
      </c>
      <c r="G52" s="333">
        <v>20</v>
      </c>
      <c r="H52" s="333">
        <v>1.04</v>
      </c>
    </row>
    <row r="53" spans="1:8" ht="24" customHeight="1" x14ac:dyDescent="0.3">
      <c r="A53" s="330" t="s">
        <v>662</v>
      </c>
      <c r="B53" s="330" t="s">
        <v>1010</v>
      </c>
      <c r="C53" s="330" t="s">
        <v>7</v>
      </c>
      <c r="D53" s="331" t="s">
        <v>743</v>
      </c>
      <c r="E53" s="330" t="s">
        <v>102</v>
      </c>
      <c r="F53" s="332">
        <v>5.1999999999999998E-2</v>
      </c>
      <c r="G53" s="333">
        <v>25.69</v>
      </c>
      <c r="H53" s="333">
        <v>1.33</v>
      </c>
    </row>
    <row r="54" spans="1:8" ht="39" customHeight="1" x14ac:dyDescent="0.3">
      <c r="A54" s="330" t="s">
        <v>667</v>
      </c>
      <c r="B54" s="330" t="s">
        <v>1014</v>
      </c>
      <c r="C54" s="330" t="s">
        <v>7</v>
      </c>
      <c r="D54" s="331" t="s">
        <v>751</v>
      </c>
      <c r="E54" s="330" t="s">
        <v>97</v>
      </c>
      <c r="F54" s="332">
        <v>1.19</v>
      </c>
      <c r="G54" s="333">
        <v>19.21</v>
      </c>
      <c r="H54" s="333">
        <v>22.85</v>
      </c>
    </row>
    <row r="55" spans="1:8" ht="25.95" customHeight="1" x14ac:dyDescent="0.3">
      <c r="A55" s="330" t="s">
        <v>667</v>
      </c>
      <c r="B55" s="330" t="s">
        <v>1012</v>
      </c>
      <c r="C55" s="330" t="s">
        <v>7</v>
      </c>
      <c r="D55" s="331" t="s">
        <v>741</v>
      </c>
      <c r="E55" s="330" t="s">
        <v>198</v>
      </c>
      <c r="F55" s="332">
        <v>8.9999999999999993E-3</v>
      </c>
      <c r="G55" s="333">
        <v>9.5399999999999991</v>
      </c>
      <c r="H55" s="333">
        <v>0.08</v>
      </c>
    </row>
    <row r="56" spans="1:8" x14ac:dyDescent="0.3">
      <c r="A56" s="334"/>
      <c r="B56" s="334"/>
      <c r="C56" s="334"/>
      <c r="D56" s="334"/>
      <c r="E56" s="334"/>
      <c r="F56" s="403" t="s">
        <v>676</v>
      </c>
      <c r="G56" s="403"/>
      <c r="H56" s="335">
        <v>5.21</v>
      </c>
    </row>
    <row r="57" spans="1:8" ht="15" thickBot="1" x14ac:dyDescent="0.35">
      <c r="A57" s="334"/>
      <c r="B57" s="334"/>
      <c r="C57" s="334"/>
      <c r="D57" s="334"/>
      <c r="E57" s="334"/>
      <c r="F57" s="402" t="s">
        <v>677</v>
      </c>
      <c r="G57" s="402"/>
      <c r="H57" s="335">
        <v>30.51</v>
      </c>
    </row>
    <row r="58" spans="1:8" ht="1.05" customHeight="1" thickTop="1" x14ac:dyDescent="0.3">
      <c r="A58" s="336"/>
      <c r="B58" s="336"/>
      <c r="C58" s="336"/>
      <c r="D58" s="336"/>
      <c r="E58" s="336"/>
      <c r="F58" s="336"/>
      <c r="G58" s="336"/>
      <c r="H58" s="336"/>
    </row>
    <row r="59" spans="1:8" ht="18" customHeight="1" x14ac:dyDescent="0.3">
      <c r="A59" s="227" t="s">
        <v>805</v>
      </c>
      <c r="B59" s="227" t="s">
        <v>158</v>
      </c>
      <c r="C59" s="227" t="s">
        <v>159</v>
      </c>
      <c r="D59" s="338" t="s">
        <v>160</v>
      </c>
      <c r="E59" s="227" t="s">
        <v>161</v>
      </c>
      <c r="F59" s="227" t="s">
        <v>162</v>
      </c>
      <c r="G59" s="227" t="s">
        <v>163</v>
      </c>
      <c r="H59" s="227" t="s">
        <v>165</v>
      </c>
    </row>
    <row r="60" spans="1:8" ht="52.05" customHeight="1" x14ac:dyDescent="0.3">
      <c r="A60" s="228" t="s">
        <v>661</v>
      </c>
      <c r="B60" s="228" t="s">
        <v>806</v>
      </c>
      <c r="C60" s="228" t="s">
        <v>169</v>
      </c>
      <c r="D60" s="229" t="s">
        <v>755</v>
      </c>
      <c r="E60" s="228" t="s">
        <v>97</v>
      </c>
      <c r="F60" s="328">
        <v>1</v>
      </c>
      <c r="G60" s="329">
        <v>16.829999999999998</v>
      </c>
      <c r="H60" s="329">
        <v>16.829999999999998</v>
      </c>
    </row>
    <row r="61" spans="1:8" ht="25.95" customHeight="1" x14ac:dyDescent="0.3">
      <c r="A61" s="330" t="s">
        <v>662</v>
      </c>
      <c r="B61" s="330" t="s">
        <v>1009</v>
      </c>
      <c r="C61" s="330" t="s">
        <v>7</v>
      </c>
      <c r="D61" s="331" t="s">
        <v>742</v>
      </c>
      <c r="E61" s="330" t="s">
        <v>102</v>
      </c>
      <c r="F61" s="332">
        <v>0.04</v>
      </c>
      <c r="G61" s="333">
        <v>20</v>
      </c>
      <c r="H61" s="333">
        <v>0.8</v>
      </c>
    </row>
    <row r="62" spans="1:8" ht="24" customHeight="1" x14ac:dyDescent="0.3">
      <c r="A62" s="330" t="s">
        <v>662</v>
      </c>
      <c r="B62" s="330" t="s">
        <v>1010</v>
      </c>
      <c r="C62" s="330" t="s">
        <v>7</v>
      </c>
      <c r="D62" s="331" t="s">
        <v>743</v>
      </c>
      <c r="E62" s="330" t="s">
        <v>102</v>
      </c>
      <c r="F62" s="332">
        <v>0.04</v>
      </c>
      <c r="G62" s="333">
        <v>25.69</v>
      </c>
      <c r="H62" s="333">
        <v>1.02</v>
      </c>
    </row>
    <row r="63" spans="1:8" ht="39" customHeight="1" x14ac:dyDescent="0.3">
      <c r="A63" s="330" t="s">
        <v>667</v>
      </c>
      <c r="B63" s="330" t="s">
        <v>1015</v>
      </c>
      <c r="C63" s="330" t="s">
        <v>7</v>
      </c>
      <c r="D63" s="331" t="s">
        <v>754</v>
      </c>
      <c r="E63" s="330" t="s">
        <v>97</v>
      </c>
      <c r="F63" s="332">
        <v>1.19</v>
      </c>
      <c r="G63" s="333">
        <v>12.55</v>
      </c>
      <c r="H63" s="333">
        <v>14.93</v>
      </c>
    </row>
    <row r="64" spans="1:8" ht="25.95" customHeight="1" x14ac:dyDescent="0.3">
      <c r="A64" s="330" t="s">
        <v>667</v>
      </c>
      <c r="B64" s="330" t="s">
        <v>1012</v>
      </c>
      <c r="C64" s="330" t="s">
        <v>7</v>
      </c>
      <c r="D64" s="331" t="s">
        <v>741</v>
      </c>
      <c r="E64" s="330" t="s">
        <v>198</v>
      </c>
      <c r="F64" s="332">
        <v>8.9999999999999993E-3</v>
      </c>
      <c r="G64" s="333">
        <v>9.5399999999999991</v>
      </c>
      <c r="H64" s="333">
        <v>0.08</v>
      </c>
    </row>
    <row r="65" spans="1:8" x14ac:dyDescent="0.3">
      <c r="A65" s="334"/>
      <c r="B65" s="334"/>
      <c r="C65" s="334"/>
      <c r="D65" s="334"/>
      <c r="E65" s="334"/>
      <c r="F65" s="403" t="s">
        <v>676</v>
      </c>
      <c r="G65" s="403"/>
      <c r="H65" s="335">
        <v>3.46</v>
      </c>
    </row>
    <row r="66" spans="1:8" ht="15" thickBot="1" x14ac:dyDescent="0.35">
      <c r="A66" s="334"/>
      <c r="B66" s="334"/>
      <c r="C66" s="334"/>
      <c r="D66" s="334"/>
      <c r="E66" s="334"/>
      <c r="F66" s="402" t="s">
        <v>677</v>
      </c>
      <c r="G66" s="402"/>
      <c r="H66" s="335">
        <v>20.29</v>
      </c>
    </row>
    <row r="67" spans="1:8" ht="1.05" customHeight="1" thickTop="1" x14ac:dyDescent="0.3">
      <c r="A67" s="336"/>
      <c r="B67" s="336"/>
      <c r="C67" s="336"/>
      <c r="D67" s="336"/>
      <c r="E67" s="336"/>
      <c r="F67" s="336"/>
      <c r="G67" s="336"/>
      <c r="H67" s="336"/>
    </row>
    <row r="68" spans="1:8" ht="18" customHeight="1" x14ac:dyDescent="0.3">
      <c r="A68" s="227" t="s">
        <v>807</v>
      </c>
      <c r="B68" s="227" t="s">
        <v>158</v>
      </c>
      <c r="C68" s="227" t="s">
        <v>159</v>
      </c>
      <c r="D68" s="338" t="s">
        <v>160</v>
      </c>
      <c r="E68" s="227" t="s">
        <v>161</v>
      </c>
      <c r="F68" s="227" t="s">
        <v>162</v>
      </c>
      <c r="G68" s="227" t="s">
        <v>163</v>
      </c>
      <c r="H68" s="227" t="s">
        <v>165</v>
      </c>
    </row>
    <row r="69" spans="1:8" ht="52.05" customHeight="1" x14ac:dyDescent="0.3">
      <c r="A69" s="228" t="s">
        <v>661</v>
      </c>
      <c r="B69" s="228" t="s">
        <v>808</v>
      </c>
      <c r="C69" s="228" t="s">
        <v>169</v>
      </c>
      <c r="D69" s="229" t="s">
        <v>758</v>
      </c>
      <c r="E69" s="228" t="s">
        <v>97</v>
      </c>
      <c r="F69" s="328">
        <v>1</v>
      </c>
      <c r="G69" s="329">
        <v>11.14</v>
      </c>
      <c r="H69" s="329">
        <v>11.14</v>
      </c>
    </row>
    <row r="70" spans="1:8" ht="25.95" customHeight="1" x14ac:dyDescent="0.3">
      <c r="A70" s="330" t="s">
        <v>662</v>
      </c>
      <c r="B70" s="330" t="s">
        <v>1009</v>
      </c>
      <c r="C70" s="330" t="s">
        <v>7</v>
      </c>
      <c r="D70" s="331" t="s">
        <v>742</v>
      </c>
      <c r="E70" s="330" t="s">
        <v>102</v>
      </c>
      <c r="F70" s="332">
        <v>0.03</v>
      </c>
      <c r="G70" s="333">
        <v>20</v>
      </c>
      <c r="H70" s="333">
        <v>0.6</v>
      </c>
    </row>
    <row r="71" spans="1:8" ht="24" customHeight="1" x14ac:dyDescent="0.3">
      <c r="A71" s="330" t="s">
        <v>662</v>
      </c>
      <c r="B71" s="330" t="s">
        <v>1010</v>
      </c>
      <c r="C71" s="330" t="s">
        <v>7</v>
      </c>
      <c r="D71" s="331" t="s">
        <v>743</v>
      </c>
      <c r="E71" s="330" t="s">
        <v>102</v>
      </c>
      <c r="F71" s="332">
        <v>0.03</v>
      </c>
      <c r="G71" s="333">
        <v>25.69</v>
      </c>
      <c r="H71" s="333">
        <v>0.77</v>
      </c>
    </row>
    <row r="72" spans="1:8" ht="39" customHeight="1" x14ac:dyDescent="0.3">
      <c r="A72" s="330" t="s">
        <v>667</v>
      </c>
      <c r="B72" s="330" t="s">
        <v>1016</v>
      </c>
      <c r="C72" s="330" t="s">
        <v>7</v>
      </c>
      <c r="D72" s="331" t="s">
        <v>757</v>
      </c>
      <c r="E72" s="330" t="s">
        <v>97</v>
      </c>
      <c r="F72" s="332">
        <v>1.19</v>
      </c>
      <c r="G72" s="333">
        <v>8.15</v>
      </c>
      <c r="H72" s="333">
        <v>9.69</v>
      </c>
    </row>
    <row r="73" spans="1:8" ht="25.95" customHeight="1" x14ac:dyDescent="0.3">
      <c r="A73" s="330" t="s">
        <v>667</v>
      </c>
      <c r="B73" s="330" t="s">
        <v>1012</v>
      </c>
      <c r="C73" s="330" t="s">
        <v>7</v>
      </c>
      <c r="D73" s="331" t="s">
        <v>741</v>
      </c>
      <c r="E73" s="330" t="s">
        <v>198</v>
      </c>
      <c r="F73" s="332">
        <v>8.9999999999999993E-3</v>
      </c>
      <c r="G73" s="333">
        <v>9.5399999999999991</v>
      </c>
      <c r="H73" s="333">
        <v>0.08</v>
      </c>
    </row>
    <row r="74" spans="1:8" x14ac:dyDescent="0.3">
      <c r="A74" s="334"/>
      <c r="B74" s="334"/>
      <c r="C74" s="334"/>
      <c r="D74" s="334"/>
      <c r="E74" s="334"/>
      <c r="F74" s="403" t="s">
        <v>676</v>
      </c>
      <c r="G74" s="403"/>
      <c r="H74" s="335">
        <v>2.29</v>
      </c>
    </row>
    <row r="75" spans="1:8" ht="15" thickBot="1" x14ac:dyDescent="0.35">
      <c r="A75" s="334"/>
      <c r="B75" s="334"/>
      <c r="C75" s="334"/>
      <c r="D75" s="334"/>
      <c r="E75" s="334"/>
      <c r="F75" s="402" t="s">
        <v>677</v>
      </c>
      <c r="G75" s="402"/>
      <c r="H75" s="335">
        <v>13.43</v>
      </c>
    </row>
    <row r="76" spans="1:8" ht="1.05" customHeight="1" thickTop="1" x14ac:dyDescent="0.3">
      <c r="A76" s="336"/>
      <c r="B76" s="336"/>
      <c r="C76" s="336"/>
      <c r="D76" s="336"/>
      <c r="E76" s="336"/>
      <c r="F76" s="336"/>
      <c r="G76" s="336"/>
      <c r="H76" s="336"/>
    </row>
    <row r="77" spans="1:8" x14ac:dyDescent="0.3">
      <c r="A77" s="327"/>
    </row>
  </sheetData>
  <mergeCells count="15">
    <mergeCell ref="A2:H2"/>
    <mergeCell ref="F19:G19"/>
    <mergeCell ref="F29:G29"/>
    <mergeCell ref="F38:G38"/>
    <mergeCell ref="F47:G47"/>
    <mergeCell ref="F65:G65"/>
    <mergeCell ref="F75:G75"/>
    <mergeCell ref="F74:G74"/>
    <mergeCell ref="F66:G66"/>
    <mergeCell ref="F57:G57"/>
    <mergeCell ref="F48:G48"/>
    <mergeCell ref="F39:G39"/>
    <mergeCell ref="F30:G30"/>
    <mergeCell ref="F20:G20"/>
    <mergeCell ref="F56:G56"/>
  </mergeCells>
  <printOptions horizontalCentered="1"/>
  <pageMargins left="0.51181102362204722" right="0.51181102362204722" top="0.98425196850393704" bottom="0.78740157480314965" header="0.19685039370078741" footer="0.19685039370078741"/>
  <pageSetup paperSize="9" scale="85" orientation="landscape" horizontalDpi="0" verticalDpi="0" r:id="rId1"/>
  <headerFooter>
    <oddHeader>&amp;L&amp;G&amp;R&amp;G</oddHeader>
    <oddFooter>&amp;RPágina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9"/>
  <sheetViews>
    <sheetView topLeftCell="A18" zoomScaleNormal="100" workbookViewId="0">
      <selection activeCell="C23" sqref="C23"/>
    </sheetView>
  </sheetViews>
  <sheetFormatPr defaultColWidth="11.44140625" defaultRowHeight="13.8" x14ac:dyDescent="0.3"/>
  <cols>
    <col min="1" max="1" width="8" style="36" customWidth="1"/>
    <col min="2" max="2" width="8.44140625" style="36" customWidth="1"/>
    <col min="3" max="3" width="56.109375" style="22" customWidth="1"/>
    <col min="4" max="4" width="14.33203125" style="37" customWidth="1"/>
    <col min="5" max="5" width="17.109375" style="37" customWidth="1"/>
    <col min="6" max="6" width="14.5546875" style="37" customWidth="1"/>
    <col min="7" max="7" width="16.109375" style="37" bestFit="1" customWidth="1"/>
    <col min="8" max="8" width="15.88671875" style="22" customWidth="1"/>
    <col min="9" max="9" width="11.44140625" style="22"/>
    <col min="10" max="10" width="12.33203125" style="22" bestFit="1" customWidth="1"/>
    <col min="11" max="255" width="11.44140625" style="22"/>
    <col min="256" max="256" width="6.5546875" style="22" customWidth="1"/>
    <col min="257" max="257" width="6.6640625" style="22" customWidth="1"/>
    <col min="258" max="258" width="8.44140625" style="22" bestFit="1" customWidth="1"/>
    <col min="259" max="259" width="75.33203125" style="22" customWidth="1"/>
    <col min="260" max="260" width="17" style="22" customWidth="1"/>
    <col min="261" max="261" width="17.44140625" style="22" customWidth="1"/>
    <col min="262" max="262" width="18.44140625" style="22" customWidth="1"/>
    <col min="263" max="263" width="19.44140625" style="22" customWidth="1"/>
    <col min="264" max="264" width="15.88671875" style="22" customWidth="1"/>
    <col min="265" max="265" width="11.44140625" style="22"/>
    <col min="266" max="266" width="12.33203125" style="22" bestFit="1" customWidth="1"/>
    <col min="267" max="511" width="11.44140625" style="22"/>
    <col min="512" max="512" width="6.5546875" style="22" customWidth="1"/>
    <col min="513" max="513" width="6.6640625" style="22" customWidth="1"/>
    <col min="514" max="514" width="8.44140625" style="22" bestFit="1" customWidth="1"/>
    <col min="515" max="515" width="75.33203125" style="22" customWidth="1"/>
    <col min="516" max="516" width="17" style="22" customWidth="1"/>
    <col min="517" max="517" width="17.44140625" style="22" customWidth="1"/>
    <col min="518" max="518" width="18.44140625" style="22" customWidth="1"/>
    <col min="519" max="519" width="19.44140625" style="22" customWidth="1"/>
    <col min="520" max="520" width="15.88671875" style="22" customWidth="1"/>
    <col min="521" max="521" width="11.44140625" style="22"/>
    <col min="522" max="522" width="12.33203125" style="22" bestFit="1" customWidth="1"/>
    <col min="523" max="767" width="11.44140625" style="22"/>
    <col min="768" max="768" width="6.5546875" style="22" customWidth="1"/>
    <col min="769" max="769" width="6.6640625" style="22" customWidth="1"/>
    <col min="770" max="770" width="8.44140625" style="22" bestFit="1" customWidth="1"/>
    <col min="771" max="771" width="75.33203125" style="22" customWidth="1"/>
    <col min="772" max="772" width="17" style="22" customWidth="1"/>
    <col min="773" max="773" width="17.44140625" style="22" customWidth="1"/>
    <col min="774" max="774" width="18.44140625" style="22" customWidth="1"/>
    <col min="775" max="775" width="19.44140625" style="22" customWidth="1"/>
    <col min="776" max="776" width="15.88671875" style="22" customWidth="1"/>
    <col min="777" max="777" width="11.44140625" style="22"/>
    <col min="778" max="778" width="12.33203125" style="22" bestFit="1" customWidth="1"/>
    <col min="779" max="1023" width="11.44140625" style="22"/>
    <col min="1024" max="1024" width="6.5546875" style="22" customWidth="1"/>
    <col min="1025" max="1025" width="6.6640625" style="22" customWidth="1"/>
    <col min="1026" max="1026" width="8.44140625" style="22" bestFit="1" customWidth="1"/>
    <col min="1027" max="1027" width="75.33203125" style="22" customWidth="1"/>
    <col min="1028" max="1028" width="17" style="22" customWidth="1"/>
    <col min="1029" max="1029" width="17.44140625" style="22" customWidth="1"/>
    <col min="1030" max="1030" width="18.44140625" style="22" customWidth="1"/>
    <col min="1031" max="1031" width="19.44140625" style="22" customWidth="1"/>
    <col min="1032" max="1032" width="15.88671875" style="22" customWidth="1"/>
    <col min="1033" max="1033" width="11.44140625" style="22"/>
    <col min="1034" max="1034" width="12.33203125" style="22" bestFit="1" customWidth="1"/>
    <col min="1035" max="1279" width="11.44140625" style="22"/>
    <col min="1280" max="1280" width="6.5546875" style="22" customWidth="1"/>
    <col min="1281" max="1281" width="6.6640625" style="22" customWidth="1"/>
    <col min="1282" max="1282" width="8.44140625" style="22" bestFit="1" customWidth="1"/>
    <col min="1283" max="1283" width="75.33203125" style="22" customWidth="1"/>
    <col min="1284" max="1284" width="17" style="22" customWidth="1"/>
    <col min="1285" max="1285" width="17.44140625" style="22" customWidth="1"/>
    <col min="1286" max="1286" width="18.44140625" style="22" customWidth="1"/>
    <col min="1287" max="1287" width="19.44140625" style="22" customWidth="1"/>
    <col min="1288" max="1288" width="15.88671875" style="22" customWidth="1"/>
    <col min="1289" max="1289" width="11.44140625" style="22"/>
    <col min="1290" max="1290" width="12.33203125" style="22" bestFit="1" customWidth="1"/>
    <col min="1291" max="1535" width="11.44140625" style="22"/>
    <col min="1536" max="1536" width="6.5546875" style="22" customWidth="1"/>
    <col min="1537" max="1537" width="6.6640625" style="22" customWidth="1"/>
    <col min="1538" max="1538" width="8.44140625" style="22" bestFit="1" customWidth="1"/>
    <col min="1539" max="1539" width="75.33203125" style="22" customWidth="1"/>
    <col min="1540" max="1540" width="17" style="22" customWidth="1"/>
    <col min="1541" max="1541" width="17.44140625" style="22" customWidth="1"/>
    <col min="1542" max="1542" width="18.44140625" style="22" customWidth="1"/>
    <col min="1543" max="1543" width="19.44140625" style="22" customWidth="1"/>
    <col min="1544" max="1544" width="15.88671875" style="22" customWidth="1"/>
    <col min="1545" max="1545" width="11.44140625" style="22"/>
    <col min="1546" max="1546" width="12.33203125" style="22" bestFit="1" customWidth="1"/>
    <col min="1547" max="1791" width="11.44140625" style="22"/>
    <col min="1792" max="1792" width="6.5546875" style="22" customWidth="1"/>
    <col min="1793" max="1793" width="6.6640625" style="22" customWidth="1"/>
    <col min="1794" max="1794" width="8.44140625" style="22" bestFit="1" customWidth="1"/>
    <col min="1795" max="1795" width="75.33203125" style="22" customWidth="1"/>
    <col min="1796" max="1796" width="17" style="22" customWidth="1"/>
    <col min="1797" max="1797" width="17.44140625" style="22" customWidth="1"/>
    <col min="1798" max="1798" width="18.44140625" style="22" customWidth="1"/>
    <col min="1799" max="1799" width="19.44140625" style="22" customWidth="1"/>
    <col min="1800" max="1800" width="15.88671875" style="22" customWidth="1"/>
    <col min="1801" max="1801" width="11.44140625" style="22"/>
    <col min="1802" max="1802" width="12.33203125" style="22" bestFit="1" customWidth="1"/>
    <col min="1803" max="2047" width="11.44140625" style="22"/>
    <col min="2048" max="2048" width="6.5546875" style="22" customWidth="1"/>
    <col min="2049" max="2049" width="6.6640625" style="22" customWidth="1"/>
    <col min="2050" max="2050" width="8.44140625" style="22" bestFit="1" customWidth="1"/>
    <col min="2051" max="2051" width="75.33203125" style="22" customWidth="1"/>
    <col min="2052" max="2052" width="17" style="22" customWidth="1"/>
    <col min="2053" max="2053" width="17.44140625" style="22" customWidth="1"/>
    <col min="2054" max="2054" width="18.44140625" style="22" customWidth="1"/>
    <col min="2055" max="2055" width="19.44140625" style="22" customWidth="1"/>
    <col min="2056" max="2056" width="15.88671875" style="22" customWidth="1"/>
    <col min="2057" max="2057" width="11.44140625" style="22"/>
    <col min="2058" max="2058" width="12.33203125" style="22" bestFit="1" customWidth="1"/>
    <col min="2059" max="2303" width="11.44140625" style="22"/>
    <col min="2304" max="2304" width="6.5546875" style="22" customWidth="1"/>
    <col min="2305" max="2305" width="6.6640625" style="22" customWidth="1"/>
    <col min="2306" max="2306" width="8.44140625" style="22" bestFit="1" customWidth="1"/>
    <col min="2307" max="2307" width="75.33203125" style="22" customWidth="1"/>
    <col min="2308" max="2308" width="17" style="22" customWidth="1"/>
    <col min="2309" max="2309" width="17.44140625" style="22" customWidth="1"/>
    <col min="2310" max="2310" width="18.44140625" style="22" customWidth="1"/>
    <col min="2311" max="2311" width="19.44140625" style="22" customWidth="1"/>
    <col min="2312" max="2312" width="15.88671875" style="22" customWidth="1"/>
    <col min="2313" max="2313" width="11.44140625" style="22"/>
    <col min="2314" max="2314" width="12.33203125" style="22" bestFit="1" customWidth="1"/>
    <col min="2315" max="2559" width="11.44140625" style="22"/>
    <col min="2560" max="2560" width="6.5546875" style="22" customWidth="1"/>
    <col min="2561" max="2561" width="6.6640625" style="22" customWidth="1"/>
    <col min="2562" max="2562" width="8.44140625" style="22" bestFit="1" customWidth="1"/>
    <col min="2563" max="2563" width="75.33203125" style="22" customWidth="1"/>
    <col min="2564" max="2564" width="17" style="22" customWidth="1"/>
    <col min="2565" max="2565" width="17.44140625" style="22" customWidth="1"/>
    <col min="2566" max="2566" width="18.44140625" style="22" customWidth="1"/>
    <col min="2567" max="2567" width="19.44140625" style="22" customWidth="1"/>
    <col min="2568" max="2568" width="15.88671875" style="22" customWidth="1"/>
    <col min="2569" max="2569" width="11.44140625" style="22"/>
    <col min="2570" max="2570" width="12.33203125" style="22" bestFit="1" customWidth="1"/>
    <col min="2571" max="2815" width="11.44140625" style="22"/>
    <col min="2816" max="2816" width="6.5546875" style="22" customWidth="1"/>
    <col min="2817" max="2817" width="6.6640625" style="22" customWidth="1"/>
    <col min="2818" max="2818" width="8.44140625" style="22" bestFit="1" customWidth="1"/>
    <col min="2819" max="2819" width="75.33203125" style="22" customWidth="1"/>
    <col min="2820" max="2820" width="17" style="22" customWidth="1"/>
    <col min="2821" max="2821" width="17.44140625" style="22" customWidth="1"/>
    <col min="2822" max="2822" width="18.44140625" style="22" customWidth="1"/>
    <col min="2823" max="2823" width="19.44140625" style="22" customWidth="1"/>
    <col min="2824" max="2824" width="15.88671875" style="22" customWidth="1"/>
    <col min="2825" max="2825" width="11.44140625" style="22"/>
    <col min="2826" max="2826" width="12.33203125" style="22" bestFit="1" customWidth="1"/>
    <col min="2827" max="3071" width="11.44140625" style="22"/>
    <col min="3072" max="3072" width="6.5546875" style="22" customWidth="1"/>
    <col min="3073" max="3073" width="6.6640625" style="22" customWidth="1"/>
    <col min="3074" max="3074" width="8.44140625" style="22" bestFit="1" customWidth="1"/>
    <col min="3075" max="3075" width="75.33203125" style="22" customWidth="1"/>
    <col min="3076" max="3076" width="17" style="22" customWidth="1"/>
    <col min="3077" max="3077" width="17.44140625" style="22" customWidth="1"/>
    <col min="3078" max="3078" width="18.44140625" style="22" customWidth="1"/>
    <col min="3079" max="3079" width="19.44140625" style="22" customWidth="1"/>
    <col min="3080" max="3080" width="15.88671875" style="22" customWidth="1"/>
    <col min="3081" max="3081" width="11.44140625" style="22"/>
    <col min="3082" max="3082" width="12.33203125" style="22" bestFit="1" customWidth="1"/>
    <col min="3083" max="3327" width="11.44140625" style="22"/>
    <col min="3328" max="3328" width="6.5546875" style="22" customWidth="1"/>
    <col min="3329" max="3329" width="6.6640625" style="22" customWidth="1"/>
    <col min="3330" max="3330" width="8.44140625" style="22" bestFit="1" customWidth="1"/>
    <col min="3331" max="3331" width="75.33203125" style="22" customWidth="1"/>
    <col min="3332" max="3332" width="17" style="22" customWidth="1"/>
    <col min="3333" max="3333" width="17.44140625" style="22" customWidth="1"/>
    <col min="3334" max="3334" width="18.44140625" style="22" customWidth="1"/>
    <col min="3335" max="3335" width="19.44140625" style="22" customWidth="1"/>
    <col min="3336" max="3336" width="15.88671875" style="22" customWidth="1"/>
    <col min="3337" max="3337" width="11.44140625" style="22"/>
    <col min="3338" max="3338" width="12.33203125" style="22" bestFit="1" customWidth="1"/>
    <col min="3339" max="3583" width="11.44140625" style="22"/>
    <col min="3584" max="3584" width="6.5546875" style="22" customWidth="1"/>
    <col min="3585" max="3585" width="6.6640625" style="22" customWidth="1"/>
    <col min="3586" max="3586" width="8.44140625" style="22" bestFit="1" customWidth="1"/>
    <col min="3587" max="3587" width="75.33203125" style="22" customWidth="1"/>
    <col min="3588" max="3588" width="17" style="22" customWidth="1"/>
    <col min="3589" max="3589" width="17.44140625" style="22" customWidth="1"/>
    <col min="3590" max="3590" width="18.44140625" style="22" customWidth="1"/>
    <col min="3591" max="3591" width="19.44140625" style="22" customWidth="1"/>
    <col min="3592" max="3592" width="15.88671875" style="22" customWidth="1"/>
    <col min="3593" max="3593" width="11.44140625" style="22"/>
    <col min="3594" max="3594" width="12.33203125" style="22" bestFit="1" customWidth="1"/>
    <col min="3595" max="3839" width="11.44140625" style="22"/>
    <col min="3840" max="3840" width="6.5546875" style="22" customWidth="1"/>
    <col min="3841" max="3841" width="6.6640625" style="22" customWidth="1"/>
    <col min="3842" max="3842" width="8.44140625" style="22" bestFit="1" customWidth="1"/>
    <col min="3843" max="3843" width="75.33203125" style="22" customWidth="1"/>
    <col min="3844" max="3844" width="17" style="22" customWidth="1"/>
    <col min="3845" max="3845" width="17.44140625" style="22" customWidth="1"/>
    <col min="3846" max="3846" width="18.44140625" style="22" customWidth="1"/>
    <col min="3847" max="3847" width="19.44140625" style="22" customWidth="1"/>
    <col min="3848" max="3848" width="15.88671875" style="22" customWidth="1"/>
    <col min="3849" max="3849" width="11.44140625" style="22"/>
    <col min="3850" max="3850" width="12.33203125" style="22" bestFit="1" customWidth="1"/>
    <col min="3851" max="4095" width="11.44140625" style="22"/>
    <col min="4096" max="4096" width="6.5546875" style="22" customWidth="1"/>
    <col min="4097" max="4097" width="6.6640625" style="22" customWidth="1"/>
    <col min="4098" max="4098" width="8.44140625" style="22" bestFit="1" customWidth="1"/>
    <col min="4099" max="4099" width="75.33203125" style="22" customWidth="1"/>
    <col min="4100" max="4100" width="17" style="22" customWidth="1"/>
    <col min="4101" max="4101" width="17.44140625" style="22" customWidth="1"/>
    <col min="4102" max="4102" width="18.44140625" style="22" customWidth="1"/>
    <col min="4103" max="4103" width="19.44140625" style="22" customWidth="1"/>
    <col min="4104" max="4104" width="15.88671875" style="22" customWidth="1"/>
    <col min="4105" max="4105" width="11.44140625" style="22"/>
    <col min="4106" max="4106" width="12.33203125" style="22" bestFit="1" customWidth="1"/>
    <col min="4107" max="4351" width="11.44140625" style="22"/>
    <col min="4352" max="4352" width="6.5546875" style="22" customWidth="1"/>
    <col min="4353" max="4353" width="6.6640625" style="22" customWidth="1"/>
    <col min="4354" max="4354" width="8.44140625" style="22" bestFit="1" customWidth="1"/>
    <col min="4355" max="4355" width="75.33203125" style="22" customWidth="1"/>
    <col min="4356" max="4356" width="17" style="22" customWidth="1"/>
    <col min="4357" max="4357" width="17.44140625" style="22" customWidth="1"/>
    <col min="4358" max="4358" width="18.44140625" style="22" customWidth="1"/>
    <col min="4359" max="4359" width="19.44140625" style="22" customWidth="1"/>
    <col min="4360" max="4360" width="15.88671875" style="22" customWidth="1"/>
    <col min="4361" max="4361" width="11.44140625" style="22"/>
    <col min="4362" max="4362" width="12.33203125" style="22" bestFit="1" customWidth="1"/>
    <col min="4363" max="4607" width="11.44140625" style="22"/>
    <col min="4608" max="4608" width="6.5546875" style="22" customWidth="1"/>
    <col min="4609" max="4609" width="6.6640625" style="22" customWidth="1"/>
    <col min="4610" max="4610" width="8.44140625" style="22" bestFit="1" customWidth="1"/>
    <col min="4611" max="4611" width="75.33203125" style="22" customWidth="1"/>
    <col min="4612" max="4612" width="17" style="22" customWidth="1"/>
    <col min="4613" max="4613" width="17.44140625" style="22" customWidth="1"/>
    <col min="4614" max="4614" width="18.44140625" style="22" customWidth="1"/>
    <col min="4615" max="4615" width="19.44140625" style="22" customWidth="1"/>
    <col min="4616" max="4616" width="15.88671875" style="22" customWidth="1"/>
    <col min="4617" max="4617" width="11.44140625" style="22"/>
    <col min="4618" max="4618" width="12.33203125" style="22" bestFit="1" customWidth="1"/>
    <col min="4619" max="4863" width="11.44140625" style="22"/>
    <col min="4864" max="4864" width="6.5546875" style="22" customWidth="1"/>
    <col min="4865" max="4865" width="6.6640625" style="22" customWidth="1"/>
    <col min="4866" max="4866" width="8.44140625" style="22" bestFit="1" customWidth="1"/>
    <col min="4867" max="4867" width="75.33203125" style="22" customWidth="1"/>
    <col min="4868" max="4868" width="17" style="22" customWidth="1"/>
    <col min="4869" max="4869" width="17.44140625" style="22" customWidth="1"/>
    <col min="4870" max="4870" width="18.44140625" style="22" customWidth="1"/>
    <col min="4871" max="4871" width="19.44140625" style="22" customWidth="1"/>
    <col min="4872" max="4872" width="15.88671875" style="22" customWidth="1"/>
    <col min="4873" max="4873" width="11.44140625" style="22"/>
    <col min="4874" max="4874" width="12.33203125" style="22" bestFit="1" customWidth="1"/>
    <col min="4875" max="5119" width="11.44140625" style="22"/>
    <col min="5120" max="5120" width="6.5546875" style="22" customWidth="1"/>
    <col min="5121" max="5121" width="6.6640625" style="22" customWidth="1"/>
    <col min="5122" max="5122" width="8.44140625" style="22" bestFit="1" customWidth="1"/>
    <col min="5123" max="5123" width="75.33203125" style="22" customWidth="1"/>
    <col min="5124" max="5124" width="17" style="22" customWidth="1"/>
    <col min="5125" max="5125" width="17.44140625" style="22" customWidth="1"/>
    <col min="5126" max="5126" width="18.44140625" style="22" customWidth="1"/>
    <col min="5127" max="5127" width="19.44140625" style="22" customWidth="1"/>
    <col min="5128" max="5128" width="15.88671875" style="22" customWidth="1"/>
    <col min="5129" max="5129" width="11.44140625" style="22"/>
    <col min="5130" max="5130" width="12.33203125" style="22" bestFit="1" customWidth="1"/>
    <col min="5131" max="5375" width="11.44140625" style="22"/>
    <col min="5376" max="5376" width="6.5546875" style="22" customWidth="1"/>
    <col min="5377" max="5377" width="6.6640625" style="22" customWidth="1"/>
    <col min="5378" max="5378" width="8.44140625" style="22" bestFit="1" customWidth="1"/>
    <col min="5379" max="5379" width="75.33203125" style="22" customWidth="1"/>
    <col min="5380" max="5380" width="17" style="22" customWidth="1"/>
    <col min="5381" max="5381" width="17.44140625" style="22" customWidth="1"/>
    <col min="5382" max="5382" width="18.44140625" style="22" customWidth="1"/>
    <col min="5383" max="5383" width="19.44140625" style="22" customWidth="1"/>
    <col min="5384" max="5384" width="15.88671875" style="22" customWidth="1"/>
    <col min="5385" max="5385" width="11.44140625" style="22"/>
    <col min="5386" max="5386" width="12.33203125" style="22" bestFit="1" customWidth="1"/>
    <col min="5387" max="5631" width="11.44140625" style="22"/>
    <col min="5632" max="5632" width="6.5546875" style="22" customWidth="1"/>
    <col min="5633" max="5633" width="6.6640625" style="22" customWidth="1"/>
    <col min="5634" max="5634" width="8.44140625" style="22" bestFit="1" customWidth="1"/>
    <col min="5635" max="5635" width="75.33203125" style="22" customWidth="1"/>
    <col min="5636" max="5636" width="17" style="22" customWidth="1"/>
    <col min="5637" max="5637" width="17.44140625" style="22" customWidth="1"/>
    <col min="5638" max="5638" width="18.44140625" style="22" customWidth="1"/>
    <col min="5639" max="5639" width="19.44140625" style="22" customWidth="1"/>
    <col min="5640" max="5640" width="15.88671875" style="22" customWidth="1"/>
    <col min="5641" max="5641" width="11.44140625" style="22"/>
    <col min="5642" max="5642" width="12.33203125" style="22" bestFit="1" customWidth="1"/>
    <col min="5643" max="5887" width="11.44140625" style="22"/>
    <col min="5888" max="5888" width="6.5546875" style="22" customWidth="1"/>
    <col min="5889" max="5889" width="6.6640625" style="22" customWidth="1"/>
    <col min="5890" max="5890" width="8.44140625" style="22" bestFit="1" customWidth="1"/>
    <col min="5891" max="5891" width="75.33203125" style="22" customWidth="1"/>
    <col min="5892" max="5892" width="17" style="22" customWidth="1"/>
    <col min="5893" max="5893" width="17.44140625" style="22" customWidth="1"/>
    <col min="5894" max="5894" width="18.44140625" style="22" customWidth="1"/>
    <col min="5895" max="5895" width="19.44140625" style="22" customWidth="1"/>
    <col min="5896" max="5896" width="15.88671875" style="22" customWidth="1"/>
    <col min="5897" max="5897" width="11.44140625" style="22"/>
    <col min="5898" max="5898" width="12.33203125" style="22" bestFit="1" customWidth="1"/>
    <col min="5899" max="6143" width="11.44140625" style="22"/>
    <col min="6144" max="6144" width="6.5546875" style="22" customWidth="1"/>
    <col min="6145" max="6145" width="6.6640625" style="22" customWidth="1"/>
    <col min="6146" max="6146" width="8.44140625" style="22" bestFit="1" customWidth="1"/>
    <col min="6147" max="6147" width="75.33203125" style="22" customWidth="1"/>
    <col min="6148" max="6148" width="17" style="22" customWidth="1"/>
    <col min="6149" max="6149" width="17.44140625" style="22" customWidth="1"/>
    <col min="6150" max="6150" width="18.44140625" style="22" customWidth="1"/>
    <col min="6151" max="6151" width="19.44140625" style="22" customWidth="1"/>
    <col min="6152" max="6152" width="15.88671875" style="22" customWidth="1"/>
    <col min="6153" max="6153" width="11.44140625" style="22"/>
    <col min="6154" max="6154" width="12.33203125" style="22" bestFit="1" customWidth="1"/>
    <col min="6155" max="6399" width="11.44140625" style="22"/>
    <col min="6400" max="6400" width="6.5546875" style="22" customWidth="1"/>
    <col min="6401" max="6401" width="6.6640625" style="22" customWidth="1"/>
    <col min="6402" max="6402" width="8.44140625" style="22" bestFit="1" customWidth="1"/>
    <col min="6403" max="6403" width="75.33203125" style="22" customWidth="1"/>
    <col min="6404" max="6404" width="17" style="22" customWidth="1"/>
    <col min="6405" max="6405" width="17.44140625" style="22" customWidth="1"/>
    <col min="6406" max="6406" width="18.44140625" style="22" customWidth="1"/>
    <col min="6407" max="6407" width="19.44140625" style="22" customWidth="1"/>
    <col min="6408" max="6408" width="15.88671875" style="22" customWidth="1"/>
    <col min="6409" max="6409" width="11.44140625" style="22"/>
    <col min="6410" max="6410" width="12.33203125" style="22" bestFit="1" customWidth="1"/>
    <col min="6411" max="6655" width="11.44140625" style="22"/>
    <col min="6656" max="6656" width="6.5546875" style="22" customWidth="1"/>
    <col min="6657" max="6657" width="6.6640625" style="22" customWidth="1"/>
    <col min="6658" max="6658" width="8.44140625" style="22" bestFit="1" customWidth="1"/>
    <col min="6659" max="6659" width="75.33203125" style="22" customWidth="1"/>
    <col min="6660" max="6660" width="17" style="22" customWidth="1"/>
    <col min="6661" max="6661" width="17.44140625" style="22" customWidth="1"/>
    <col min="6662" max="6662" width="18.44140625" style="22" customWidth="1"/>
    <col min="6663" max="6663" width="19.44140625" style="22" customWidth="1"/>
    <col min="6664" max="6664" width="15.88671875" style="22" customWidth="1"/>
    <col min="6665" max="6665" width="11.44140625" style="22"/>
    <col min="6666" max="6666" width="12.33203125" style="22" bestFit="1" customWidth="1"/>
    <col min="6667" max="6911" width="11.44140625" style="22"/>
    <col min="6912" max="6912" width="6.5546875" style="22" customWidth="1"/>
    <col min="6913" max="6913" width="6.6640625" style="22" customWidth="1"/>
    <col min="6914" max="6914" width="8.44140625" style="22" bestFit="1" customWidth="1"/>
    <col min="6915" max="6915" width="75.33203125" style="22" customWidth="1"/>
    <col min="6916" max="6916" width="17" style="22" customWidth="1"/>
    <col min="6917" max="6917" width="17.44140625" style="22" customWidth="1"/>
    <col min="6918" max="6918" width="18.44140625" style="22" customWidth="1"/>
    <col min="6919" max="6919" width="19.44140625" style="22" customWidth="1"/>
    <col min="6920" max="6920" width="15.88671875" style="22" customWidth="1"/>
    <col min="6921" max="6921" width="11.44140625" style="22"/>
    <col min="6922" max="6922" width="12.33203125" style="22" bestFit="1" customWidth="1"/>
    <col min="6923" max="7167" width="11.44140625" style="22"/>
    <col min="7168" max="7168" width="6.5546875" style="22" customWidth="1"/>
    <col min="7169" max="7169" width="6.6640625" style="22" customWidth="1"/>
    <col min="7170" max="7170" width="8.44140625" style="22" bestFit="1" customWidth="1"/>
    <col min="7171" max="7171" width="75.33203125" style="22" customWidth="1"/>
    <col min="7172" max="7172" width="17" style="22" customWidth="1"/>
    <col min="7173" max="7173" width="17.44140625" style="22" customWidth="1"/>
    <col min="7174" max="7174" width="18.44140625" style="22" customWidth="1"/>
    <col min="7175" max="7175" width="19.44140625" style="22" customWidth="1"/>
    <col min="7176" max="7176" width="15.88671875" style="22" customWidth="1"/>
    <col min="7177" max="7177" width="11.44140625" style="22"/>
    <col min="7178" max="7178" width="12.33203125" style="22" bestFit="1" customWidth="1"/>
    <col min="7179" max="7423" width="11.44140625" style="22"/>
    <col min="7424" max="7424" width="6.5546875" style="22" customWidth="1"/>
    <col min="7425" max="7425" width="6.6640625" style="22" customWidth="1"/>
    <col min="7426" max="7426" width="8.44140625" style="22" bestFit="1" customWidth="1"/>
    <col min="7427" max="7427" width="75.33203125" style="22" customWidth="1"/>
    <col min="7428" max="7428" width="17" style="22" customWidth="1"/>
    <col min="7429" max="7429" width="17.44140625" style="22" customWidth="1"/>
    <col min="7430" max="7430" width="18.44140625" style="22" customWidth="1"/>
    <col min="7431" max="7431" width="19.44140625" style="22" customWidth="1"/>
    <col min="7432" max="7432" width="15.88671875" style="22" customWidth="1"/>
    <col min="7433" max="7433" width="11.44140625" style="22"/>
    <col min="7434" max="7434" width="12.33203125" style="22" bestFit="1" customWidth="1"/>
    <col min="7435" max="7679" width="11.44140625" style="22"/>
    <col min="7680" max="7680" width="6.5546875" style="22" customWidth="1"/>
    <col min="7681" max="7681" width="6.6640625" style="22" customWidth="1"/>
    <col min="7682" max="7682" width="8.44140625" style="22" bestFit="1" customWidth="1"/>
    <col min="7683" max="7683" width="75.33203125" style="22" customWidth="1"/>
    <col min="7684" max="7684" width="17" style="22" customWidth="1"/>
    <col min="7685" max="7685" width="17.44140625" style="22" customWidth="1"/>
    <col min="7686" max="7686" width="18.44140625" style="22" customWidth="1"/>
    <col min="7687" max="7687" width="19.44140625" style="22" customWidth="1"/>
    <col min="7688" max="7688" width="15.88671875" style="22" customWidth="1"/>
    <col min="7689" max="7689" width="11.44140625" style="22"/>
    <col min="7690" max="7690" width="12.33203125" style="22" bestFit="1" customWidth="1"/>
    <col min="7691" max="7935" width="11.44140625" style="22"/>
    <col min="7936" max="7936" width="6.5546875" style="22" customWidth="1"/>
    <col min="7937" max="7937" width="6.6640625" style="22" customWidth="1"/>
    <col min="7938" max="7938" width="8.44140625" style="22" bestFit="1" customWidth="1"/>
    <col min="7939" max="7939" width="75.33203125" style="22" customWidth="1"/>
    <col min="7940" max="7940" width="17" style="22" customWidth="1"/>
    <col min="7941" max="7941" width="17.44140625" style="22" customWidth="1"/>
    <col min="7942" max="7942" width="18.44140625" style="22" customWidth="1"/>
    <col min="7943" max="7943" width="19.44140625" style="22" customWidth="1"/>
    <col min="7944" max="7944" width="15.88671875" style="22" customWidth="1"/>
    <col min="7945" max="7945" width="11.44140625" style="22"/>
    <col min="7946" max="7946" width="12.33203125" style="22" bestFit="1" customWidth="1"/>
    <col min="7947" max="8191" width="11.44140625" style="22"/>
    <col min="8192" max="8192" width="6.5546875" style="22" customWidth="1"/>
    <col min="8193" max="8193" width="6.6640625" style="22" customWidth="1"/>
    <col min="8194" max="8194" width="8.44140625" style="22" bestFit="1" customWidth="1"/>
    <col min="8195" max="8195" width="75.33203125" style="22" customWidth="1"/>
    <col min="8196" max="8196" width="17" style="22" customWidth="1"/>
    <col min="8197" max="8197" width="17.44140625" style="22" customWidth="1"/>
    <col min="8198" max="8198" width="18.44140625" style="22" customWidth="1"/>
    <col min="8199" max="8199" width="19.44140625" style="22" customWidth="1"/>
    <col min="8200" max="8200" width="15.88671875" style="22" customWidth="1"/>
    <col min="8201" max="8201" width="11.44140625" style="22"/>
    <col min="8202" max="8202" width="12.33203125" style="22" bestFit="1" customWidth="1"/>
    <col min="8203" max="8447" width="11.44140625" style="22"/>
    <col min="8448" max="8448" width="6.5546875" style="22" customWidth="1"/>
    <col min="8449" max="8449" width="6.6640625" style="22" customWidth="1"/>
    <col min="8450" max="8450" width="8.44140625" style="22" bestFit="1" customWidth="1"/>
    <col min="8451" max="8451" width="75.33203125" style="22" customWidth="1"/>
    <col min="8452" max="8452" width="17" style="22" customWidth="1"/>
    <col min="8453" max="8453" width="17.44140625" style="22" customWidth="1"/>
    <col min="8454" max="8454" width="18.44140625" style="22" customWidth="1"/>
    <col min="8455" max="8455" width="19.44140625" style="22" customWidth="1"/>
    <col min="8456" max="8456" width="15.88671875" style="22" customWidth="1"/>
    <col min="8457" max="8457" width="11.44140625" style="22"/>
    <col min="8458" max="8458" width="12.33203125" style="22" bestFit="1" customWidth="1"/>
    <col min="8459" max="8703" width="11.44140625" style="22"/>
    <col min="8704" max="8704" width="6.5546875" style="22" customWidth="1"/>
    <col min="8705" max="8705" width="6.6640625" style="22" customWidth="1"/>
    <col min="8706" max="8706" width="8.44140625" style="22" bestFit="1" customWidth="1"/>
    <col min="8707" max="8707" width="75.33203125" style="22" customWidth="1"/>
    <col min="8708" max="8708" width="17" style="22" customWidth="1"/>
    <col min="8709" max="8709" width="17.44140625" style="22" customWidth="1"/>
    <col min="8710" max="8710" width="18.44140625" style="22" customWidth="1"/>
    <col min="8711" max="8711" width="19.44140625" style="22" customWidth="1"/>
    <col min="8712" max="8712" width="15.88671875" style="22" customWidth="1"/>
    <col min="8713" max="8713" width="11.44140625" style="22"/>
    <col min="8714" max="8714" width="12.33203125" style="22" bestFit="1" customWidth="1"/>
    <col min="8715" max="8959" width="11.44140625" style="22"/>
    <col min="8960" max="8960" width="6.5546875" style="22" customWidth="1"/>
    <col min="8961" max="8961" width="6.6640625" style="22" customWidth="1"/>
    <col min="8962" max="8962" width="8.44140625" style="22" bestFit="1" customWidth="1"/>
    <col min="8963" max="8963" width="75.33203125" style="22" customWidth="1"/>
    <col min="8964" max="8964" width="17" style="22" customWidth="1"/>
    <col min="8965" max="8965" width="17.44140625" style="22" customWidth="1"/>
    <col min="8966" max="8966" width="18.44140625" style="22" customWidth="1"/>
    <col min="8967" max="8967" width="19.44140625" style="22" customWidth="1"/>
    <col min="8968" max="8968" width="15.88671875" style="22" customWidth="1"/>
    <col min="8969" max="8969" width="11.44140625" style="22"/>
    <col min="8970" max="8970" width="12.33203125" style="22" bestFit="1" customWidth="1"/>
    <col min="8971" max="9215" width="11.44140625" style="22"/>
    <col min="9216" max="9216" width="6.5546875" style="22" customWidth="1"/>
    <col min="9217" max="9217" width="6.6640625" style="22" customWidth="1"/>
    <col min="9218" max="9218" width="8.44140625" style="22" bestFit="1" customWidth="1"/>
    <col min="9219" max="9219" width="75.33203125" style="22" customWidth="1"/>
    <col min="9220" max="9220" width="17" style="22" customWidth="1"/>
    <col min="9221" max="9221" width="17.44140625" style="22" customWidth="1"/>
    <col min="9222" max="9222" width="18.44140625" style="22" customWidth="1"/>
    <col min="9223" max="9223" width="19.44140625" style="22" customWidth="1"/>
    <col min="9224" max="9224" width="15.88671875" style="22" customWidth="1"/>
    <col min="9225" max="9225" width="11.44140625" style="22"/>
    <col min="9226" max="9226" width="12.33203125" style="22" bestFit="1" customWidth="1"/>
    <col min="9227" max="9471" width="11.44140625" style="22"/>
    <col min="9472" max="9472" width="6.5546875" style="22" customWidth="1"/>
    <col min="9473" max="9473" width="6.6640625" style="22" customWidth="1"/>
    <col min="9474" max="9474" width="8.44140625" style="22" bestFit="1" customWidth="1"/>
    <col min="9475" max="9475" width="75.33203125" style="22" customWidth="1"/>
    <col min="9476" max="9476" width="17" style="22" customWidth="1"/>
    <col min="9477" max="9477" width="17.44140625" style="22" customWidth="1"/>
    <col min="9478" max="9478" width="18.44140625" style="22" customWidth="1"/>
    <col min="9479" max="9479" width="19.44140625" style="22" customWidth="1"/>
    <col min="9480" max="9480" width="15.88671875" style="22" customWidth="1"/>
    <col min="9481" max="9481" width="11.44140625" style="22"/>
    <col min="9482" max="9482" width="12.33203125" style="22" bestFit="1" customWidth="1"/>
    <col min="9483" max="9727" width="11.44140625" style="22"/>
    <col min="9728" max="9728" width="6.5546875" style="22" customWidth="1"/>
    <col min="9729" max="9729" width="6.6640625" style="22" customWidth="1"/>
    <col min="9730" max="9730" width="8.44140625" style="22" bestFit="1" customWidth="1"/>
    <col min="9731" max="9731" width="75.33203125" style="22" customWidth="1"/>
    <col min="9732" max="9732" width="17" style="22" customWidth="1"/>
    <col min="9733" max="9733" width="17.44140625" style="22" customWidth="1"/>
    <col min="9734" max="9734" width="18.44140625" style="22" customWidth="1"/>
    <col min="9735" max="9735" width="19.44140625" style="22" customWidth="1"/>
    <col min="9736" max="9736" width="15.88671875" style="22" customWidth="1"/>
    <col min="9737" max="9737" width="11.44140625" style="22"/>
    <col min="9738" max="9738" width="12.33203125" style="22" bestFit="1" customWidth="1"/>
    <col min="9739" max="9983" width="11.44140625" style="22"/>
    <col min="9984" max="9984" width="6.5546875" style="22" customWidth="1"/>
    <col min="9985" max="9985" width="6.6640625" style="22" customWidth="1"/>
    <col min="9986" max="9986" width="8.44140625" style="22" bestFit="1" customWidth="1"/>
    <col min="9987" max="9987" width="75.33203125" style="22" customWidth="1"/>
    <col min="9988" max="9988" width="17" style="22" customWidth="1"/>
    <col min="9989" max="9989" width="17.44140625" style="22" customWidth="1"/>
    <col min="9990" max="9990" width="18.44140625" style="22" customWidth="1"/>
    <col min="9991" max="9991" width="19.44140625" style="22" customWidth="1"/>
    <col min="9992" max="9992" width="15.88671875" style="22" customWidth="1"/>
    <col min="9993" max="9993" width="11.44140625" style="22"/>
    <col min="9994" max="9994" width="12.33203125" style="22" bestFit="1" customWidth="1"/>
    <col min="9995" max="10239" width="11.44140625" style="22"/>
    <col min="10240" max="10240" width="6.5546875" style="22" customWidth="1"/>
    <col min="10241" max="10241" width="6.6640625" style="22" customWidth="1"/>
    <col min="10242" max="10242" width="8.44140625" style="22" bestFit="1" customWidth="1"/>
    <col min="10243" max="10243" width="75.33203125" style="22" customWidth="1"/>
    <col min="10244" max="10244" width="17" style="22" customWidth="1"/>
    <col min="10245" max="10245" width="17.44140625" style="22" customWidth="1"/>
    <col min="10246" max="10246" width="18.44140625" style="22" customWidth="1"/>
    <col min="10247" max="10247" width="19.44140625" style="22" customWidth="1"/>
    <col min="10248" max="10248" width="15.88671875" style="22" customWidth="1"/>
    <col min="10249" max="10249" width="11.44140625" style="22"/>
    <col min="10250" max="10250" width="12.33203125" style="22" bestFit="1" customWidth="1"/>
    <col min="10251" max="10495" width="11.44140625" style="22"/>
    <col min="10496" max="10496" width="6.5546875" style="22" customWidth="1"/>
    <col min="10497" max="10497" width="6.6640625" style="22" customWidth="1"/>
    <col min="10498" max="10498" width="8.44140625" style="22" bestFit="1" customWidth="1"/>
    <col min="10499" max="10499" width="75.33203125" style="22" customWidth="1"/>
    <col min="10500" max="10500" width="17" style="22" customWidth="1"/>
    <col min="10501" max="10501" width="17.44140625" style="22" customWidth="1"/>
    <col min="10502" max="10502" width="18.44140625" style="22" customWidth="1"/>
    <col min="10503" max="10503" width="19.44140625" style="22" customWidth="1"/>
    <col min="10504" max="10504" width="15.88671875" style="22" customWidth="1"/>
    <col min="10505" max="10505" width="11.44140625" style="22"/>
    <col min="10506" max="10506" width="12.33203125" style="22" bestFit="1" customWidth="1"/>
    <col min="10507" max="10751" width="11.44140625" style="22"/>
    <col min="10752" max="10752" width="6.5546875" style="22" customWidth="1"/>
    <col min="10753" max="10753" width="6.6640625" style="22" customWidth="1"/>
    <col min="10754" max="10754" width="8.44140625" style="22" bestFit="1" customWidth="1"/>
    <col min="10755" max="10755" width="75.33203125" style="22" customWidth="1"/>
    <col min="10756" max="10756" width="17" style="22" customWidth="1"/>
    <col min="10757" max="10757" width="17.44140625" style="22" customWidth="1"/>
    <col min="10758" max="10758" width="18.44140625" style="22" customWidth="1"/>
    <col min="10759" max="10759" width="19.44140625" style="22" customWidth="1"/>
    <col min="10760" max="10760" width="15.88671875" style="22" customWidth="1"/>
    <col min="10761" max="10761" width="11.44140625" style="22"/>
    <col min="10762" max="10762" width="12.33203125" style="22" bestFit="1" customWidth="1"/>
    <col min="10763" max="11007" width="11.44140625" style="22"/>
    <col min="11008" max="11008" width="6.5546875" style="22" customWidth="1"/>
    <col min="11009" max="11009" width="6.6640625" style="22" customWidth="1"/>
    <col min="11010" max="11010" width="8.44140625" style="22" bestFit="1" customWidth="1"/>
    <col min="11011" max="11011" width="75.33203125" style="22" customWidth="1"/>
    <col min="11012" max="11012" width="17" style="22" customWidth="1"/>
    <col min="11013" max="11013" width="17.44140625" style="22" customWidth="1"/>
    <col min="11014" max="11014" width="18.44140625" style="22" customWidth="1"/>
    <col min="11015" max="11015" width="19.44140625" style="22" customWidth="1"/>
    <col min="11016" max="11016" width="15.88671875" style="22" customWidth="1"/>
    <col min="11017" max="11017" width="11.44140625" style="22"/>
    <col min="11018" max="11018" width="12.33203125" style="22" bestFit="1" customWidth="1"/>
    <col min="11019" max="11263" width="11.44140625" style="22"/>
    <col min="11264" max="11264" width="6.5546875" style="22" customWidth="1"/>
    <col min="11265" max="11265" width="6.6640625" style="22" customWidth="1"/>
    <col min="11266" max="11266" width="8.44140625" style="22" bestFit="1" customWidth="1"/>
    <col min="11267" max="11267" width="75.33203125" style="22" customWidth="1"/>
    <col min="11268" max="11268" width="17" style="22" customWidth="1"/>
    <col min="11269" max="11269" width="17.44140625" style="22" customWidth="1"/>
    <col min="11270" max="11270" width="18.44140625" style="22" customWidth="1"/>
    <col min="11271" max="11271" width="19.44140625" style="22" customWidth="1"/>
    <col min="11272" max="11272" width="15.88671875" style="22" customWidth="1"/>
    <col min="11273" max="11273" width="11.44140625" style="22"/>
    <col min="11274" max="11274" width="12.33203125" style="22" bestFit="1" customWidth="1"/>
    <col min="11275" max="11519" width="11.44140625" style="22"/>
    <col min="11520" max="11520" width="6.5546875" style="22" customWidth="1"/>
    <col min="11521" max="11521" width="6.6640625" style="22" customWidth="1"/>
    <col min="11522" max="11522" width="8.44140625" style="22" bestFit="1" customWidth="1"/>
    <col min="11523" max="11523" width="75.33203125" style="22" customWidth="1"/>
    <col min="11524" max="11524" width="17" style="22" customWidth="1"/>
    <col min="11525" max="11525" width="17.44140625" style="22" customWidth="1"/>
    <col min="11526" max="11526" width="18.44140625" style="22" customWidth="1"/>
    <col min="11527" max="11527" width="19.44140625" style="22" customWidth="1"/>
    <col min="11528" max="11528" width="15.88671875" style="22" customWidth="1"/>
    <col min="11529" max="11529" width="11.44140625" style="22"/>
    <col min="11530" max="11530" width="12.33203125" style="22" bestFit="1" customWidth="1"/>
    <col min="11531" max="11775" width="11.44140625" style="22"/>
    <col min="11776" max="11776" width="6.5546875" style="22" customWidth="1"/>
    <col min="11777" max="11777" width="6.6640625" style="22" customWidth="1"/>
    <col min="11778" max="11778" width="8.44140625" style="22" bestFit="1" customWidth="1"/>
    <col min="11779" max="11779" width="75.33203125" style="22" customWidth="1"/>
    <col min="11780" max="11780" width="17" style="22" customWidth="1"/>
    <col min="11781" max="11781" width="17.44140625" style="22" customWidth="1"/>
    <col min="11782" max="11782" width="18.44140625" style="22" customWidth="1"/>
    <col min="11783" max="11783" width="19.44140625" style="22" customWidth="1"/>
    <col min="11784" max="11784" width="15.88671875" style="22" customWidth="1"/>
    <col min="11785" max="11785" width="11.44140625" style="22"/>
    <col min="11786" max="11786" width="12.33203125" style="22" bestFit="1" customWidth="1"/>
    <col min="11787" max="12031" width="11.44140625" style="22"/>
    <col min="12032" max="12032" width="6.5546875" style="22" customWidth="1"/>
    <col min="12033" max="12033" width="6.6640625" style="22" customWidth="1"/>
    <col min="12034" max="12034" width="8.44140625" style="22" bestFit="1" customWidth="1"/>
    <col min="12035" max="12035" width="75.33203125" style="22" customWidth="1"/>
    <col min="12036" max="12036" width="17" style="22" customWidth="1"/>
    <col min="12037" max="12037" width="17.44140625" style="22" customWidth="1"/>
    <col min="12038" max="12038" width="18.44140625" style="22" customWidth="1"/>
    <col min="12039" max="12039" width="19.44140625" style="22" customWidth="1"/>
    <col min="12040" max="12040" width="15.88671875" style="22" customWidth="1"/>
    <col min="12041" max="12041" width="11.44140625" style="22"/>
    <col min="12042" max="12042" width="12.33203125" style="22" bestFit="1" customWidth="1"/>
    <col min="12043" max="12287" width="11.44140625" style="22"/>
    <col min="12288" max="12288" width="6.5546875" style="22" customWidth="1"/>
    <col min="12289" max="12289" width="6.6640625" style="22" customWidth="1"/>
    <col min="12290" max="12290" width="8.44140625" style="22" bestFit="1" customWidth="1"/>
    <col min="12291" max="12291" width="75.33203125" style="22" customWidth="1"/>
    <col min="12292" max="12292" width="17" style="22" customWidth="1"/>
    <col min="12293" max="12293" width="17.44140625" style="22" customWidth="1"/>
    <col min="12294" max="12294" width="18.44140625" style="22" customWidth="1"/>
    <col min="12295" max="12295" width="19.44140625" style="22" customWidth="1"/>
    <col min="12296" max="12296" width="15.88671875" style="22" customWidth="1"/>
    <col min="12297" max="12297" width="11.44140625" style="22"/>
    <col min="12298" max="12298" width="12.33203125" style="22" bestFit="1" customWidth="1"/>
    <col min="12299" max="12543" width="11.44140625" style="22"/>
    <col min="12544" max="12544" width="6.5546875" style="22" customWidth="1"/>
    <col min="12545" max="12545" width="6.6640625" style="22" customWidth="1"/>
    <col min="12546" max="12546" width="8.44140625" style="22" bestFit="1" customWidth="1"/>
    <col min="12547" max="12547" width="75.33203125" style="22" customWidth="1"/>
    <col min="12548" max="12548" width="17" style="22" customWidth="1"/>
    <col min="12549" max="12549" width="17.44140625" style="22" customWidth="1"/>
    <col min="12550" max="12550" width="18.44140625" style="22" customWidth="1"/>
    <col min="12551" max="12551" width="19.44140625" style="22" customWidth="1"/>
    <col min="12552" max="12552" width="15.88671875" style="22" customWidth="1"/>
    <col min="12553" max="12553" width="11.44140625" style="22"/>
    <col min="12554" max="12554" width="12.33203125" style="22" bestFit="1" customWidth="1"/>
    <col min="12555" max="12799" width="11.44140625" style="22"/>
    <col min="12800" max="12800" width="6.5546875" style="22" customWidth="1"/>
    <col min="12801" max="12801" width="6.6640625" style="22" customWidth="1"/>
    <col min="12802" max="12802" width="8.44140625" style="22" bestFit="1" customWidth="1"/>
    <col min="12803" max="12803" width="75.33203125" style="22" customWidth="1"/>
    <col min="12804" max="12804" width="17" style="22" customWidth="1"/>
    <col min="12805" max="12805" width="17.44140625" style="22" customWidth="1"/>
    <col min="12806" max="12806" width="18.44140625" style="22" customWidth="1"/>
    <col min="12807" max="12807" width="19.44140625" style="22" customWidth="1"/>
    <col min="12808" max="12808" width="15.88671875" style="22" customWidth="1"/>
    <col min="12809" max="12809" width="11.44140625" style="22"/>
    <col min="12810" max="12810" width="12.33203125" style="22" bestFit="1" customWidth="1"/>
    <col min="12811" max="13055" width="11.44140625" style="22"/>
    <col min="13056" max="13056" width="6.5546875" style="22" customWidth="1"/>
    <col min="13057" max="13057" width="6.6640625" style="22" customWidth="1"/>
    <col min="13058" max="13058" width="8.44140625" style="22" bestFit="1" customWidth="1"/>
    <col min="13059" max="13059" width="75.33203125" style="22" customWidth="1"/>
    <col min="13060" max="13060" width="17" style="22" customWidth="1"/>
    <col min="13061" max="13061" width="17.44140625" style="22" customWidth="1"/>
    <col min="13062" max="13062" width="18.44140625" style="22" customWidth="1"/>
    <col min="13063" max="13063" width="19.44140625" style="22" customWidth="1"/>
    <col min="13064" max="13064" width="15.88671875" style="22" customWidth="1"/>
    <col min="13065" max="13065" width="11.44140625" style="22"/>
    <col min="13066" max="13066" width="12.33203125" style="22" bestFit="1" customWidth="1"/>
    <col min="13067" max="13311" width="11.44140625" style="22"/>
    <col min="13312" max="13312" width="6.5546875" style="22" customWidth="1"/>
    <col min="13313" max="13313" width="6.6640625" style="22" customWidth="1"/>
    <col min="13314" max="13314" width="8.44140625" style="22" bestFit="1" customWidth="1"/>
    <col min="13315" max="13315" width="75.33203125" style="22" customWidth="1"/>
    <col min="13316" max="13316" width="17" style="22" customWidth="1"/>
    <col min="13317" max="13317" width="17.44140625" style="22" customWidth="1"/>
    <col min="13318" max="13318" width="18.44140625" style="22" customWidth="1"/>
    <col min="13319" max="13319" width="19.44140625" style="22" customWidth="1"/>
    <col min="13320" max="13320" width="15.88671875" style="22" customWidth="1"/>
    <col min="13321" max="13321" width="11.44140625" style="22"/>
    <col min="13322" max="13322" width="12.33203125" style="22" bestFit="1" customWidth="1"/>
    <col min="13323" max="13567" width="11.44140625" style="22"/>
    <col min="13568" max="13568" width="6.5546875" style="22" customWidth="1"/>
    <col min="13569" max="13569" width="6.6640625" style="22" customWidth="1"/>
    <col min="13570" max="13570" width="8.44140625" style="22" bestFit="1" customWidth="1"/>
    <col min="13571" max="13571" width="75.33203125" style="22" customWidth="1"/>
    <col min="13572" max="13572" width="17" style="22" customWidth="1"/>
    <col min="13573" max="13573" width="17.44140625" style="22" customWidth="1"/>
    <col min="13574" max="13574" width="18.44140625" style="22" customWidth="1"/>
    <col min="13575" max="13575" width="19.44140625" style="22" customWidth="1"/>
    <col min="13576" max="13576" width="15.88671875" style="22" customWidth="1"/>
    <col min="13577" max="13577" width="11.44140625" style="22"/>
    <col min="13578" max="13578" width="12.33203125" style="22" bestFit="1" customWidth="1"/>
    <col min="13579" max="13823" width="11.44140625" style="22"/>
    <col min="13824" max="13824" width="6.5546875" style="22" customWidth="1"/>
    <col min="13825" max="13825" width="6.6640625" style="22" customWidth="1"/>
    <col min="13826" max="13826" width="8.44140625" style="22" bestFit="1" customWidth="1"/>
    <col min="13827" max="13827" width="75.33203125" style="22" customWidth="1"/>
    <col min="13828" max="13828" width="17" style="22" customWidth="1"/>
    <col min="13829" max="13829" width="17.44140625" style="22" customWidth="1"/>
    <col min="13830" max="13830" width="18.44140625" style="22" customWidth="1"/>
    <col min="13831" max="13831" width="19.44140625" style="22" customWidth="1"/>
    <col min="13832" max="13832" width="15.88671875" style="22" customWidth="1"/>
    <col min="13833" max="13833" width="11.44140625" style="22"/>
    <col min="13834" max="13834" width="12.33203125" style="22" bestFit="1" customWidth="1"/>
    <col min="13835" max="14079" width="11.44140625" style="22"/>
    <col min="14080" max="14080" width="6.5546875" style="22" customWidth="1"/>
    <col min="14081" max="14081" width="6.6640625" style="22" customWidth="1"/>
    <col min="14082" max="14082" width="8.44140625" style="22" bestFit="1" customWidth="1"/>
    <col min="14083" max="14083" width="75.33203125" style="22" customWidth="1"/>
    <col min="14084" max="14084" width="17" style="22" customWidth="1"/>
    <col min="14085" max="14085" width="17.44140625" style="22" customWidth="1"/>
    <col min="14086" max="14086" width="18.44140625" style="22" customWidth="1"/>
    <col min="14087" max="14087" width="19.44140625" style="22" customWidth="1"/>
    <col min="14088" max="14088" width="15.88671875" style="22" customWidth="1"/>
    <col min="14089" max="14089" width="11.44140625" style="22"/>
    <col min="14090" max="14090" width="12.33203125" style="22" bestFit="1" customWidth="1"/>
    <col min="14091" max="14335" width="11.44140625" style="22"/>
    <col min="14336" max="14336" width="6.5546875" style="22" customWidth="1"/>
    <col min="14337" max="14337" width="6.6640625" style="22" customWidth="1"/>
    <col min="14338" max="14338" width="8.44140625" style="22" bestFit="1" customWidth="1"/>
    <col min="14339" max="14339" width="75.33203125" style="22" customWidth="1"/>
    <col min="14340" max="14340" width="17" style="22" customWidth="1"/>
    <col min="14341" max="14341" width="17.44140625" style="22" customWidth="1"/>
    <col min="14342" max="14342" width="18.44140625" style="22" customWidth="1"/>
    <col min="14343" max="14343" width="19.44140625" style="22" customWidth="1"/>
    <col min="14344" max="14344" width="15.88671875" style="22" customWidth="1"/>
    <col min="14345" max="14345" width="11.44140625" style="22"/>
    <col min="14346" max="14346" width="12.33203125" style="22" bestFit="1" customWidth="1"/>
    <col min="14347" max="14591" width="11.44140625" style="22"/>
    <col min="14592" max="14592" width="6.5546875" style="22" customWidth="1"/>
    <col min="14593" max="14593" width="6.6640625" style="22" customWidth="1"/>
    <col min="14594" max="14594" width="8.44140625" style="22" bestFit="1" customWidth="1"/>
    <col min="14595" max="14595" width="75.33203125" style="22" customWidth="1"/>
    <col min="14596" max="14596" width="17" style="22" customWidth="1"/>
    <col min="14597" max="14597" width="17.44140625" style="22" customWidth="1"/>
    <col min="14598" max="14598" width="18.44140625" style="22" customWidth="1"/>
    <col min="14599" max="14599" width="19.44140625" style="22" customWidth="1"/>
    <col min="14600" max="14600" width="15.88671875" style="22" customWidth="1"/>
    <col min="14601" max="14601" width="11.44140625" style="22"/>
    <col min="14602" max="14602" width="12.33203125" style="22" bestFit="1" customWidth="1"/>
    <col min="14603" max="14847" width="11.44140625" style="22"/>
    <col min="14848" max="14848" width="6.5546875" style="22" customWidth="1"/>
    <col min="14849" max="14849" width="6.6640625" style="22" customWidth="1"/>
    <col min="14850" max="14850" width="8.44140625" style="22" bestFit="1" customWidth="1"/>
    <col min="14851" max="14851" width="75.33203125" style="22" customWidth="1"/>
    <col min="14852" max="14852" width="17" style="22" customWidth="1"/>
    <col min="14853" max="14853" width="17.44140625" style="22" customWidth="1"/>
    <col min="14854" max="14854" width="18.44140625" style="22" customWidth="1"/>
    <col min="14855" max="14855" width="19.44140625" style="22" customWidth="1"/>
    <col min="14856" max="14856" width="15.88671875" style="22" customWidth="1"/>
    <col min="14857" max="14857" width="11.44140625" style="22"/>
    <col min="14858" max="14858" width="12.33203125" style="22" bestFit="1" customWidth="1"/>
    <col min="14859" max="15103" width="11.44140625" style="22"/>
    <col min="15104" max="15104" width="6.5546875" style="22" customWidth="1"/>
    <col min="15105" max="15105" width="6.6640625" style="22" customWidth="1"/>
    <col min="15106" max="15106" width="8.44140625" style="22" bestFit="1" customWidth="1"/>
    <col min="15107" max="15107" width="75.33203125" style="22" customWidth="1"/>
    <col min="15108" max="15108" width="17" style="22" customWidth="1"/>
    <col min="15109" max="15109" width="17.44140625" style="22" customWidth="1"/>
    <col min="15110" max="15110" width="18.44140625" style="22" customWidth="1"/>
    <col min="15111" max="15111" width="19.44140625" style="22" customWidth="1"/>
    <col min="15112" max="15112" width="15.88671875" style="22" customWidth="1"/>
    <col min="15113" max="15113" width="11.44140625" style="22"/>
    <col min="15114" max="15114" width="12.33203125" style="22" bestFit="1" customWidth="1"/>
    <col min="15115" max="15359" width="11.44140625" style="22"/>
    <col min="15360" max="15360" width="6.5546875" style="22" customWidth="1"/>
    <col min="15361" max="15361" width="6.6640625" style="22" customWidth="1"/>
    <col min="15362" max="15362" width="8.44140625" style="22" bestFit="1" customWidth="1"/>
    <col min="15363" max="15363" width="75.33203125" style="22" customWidth="1"/>
    <col min="15364" max="15364" width="17" style="22" customWidth="1"/>
    <col min="15365" max="15365" width="17.44140625" style="22" customWidth="1"/>
    <col min="15366" max="15366" width="18.44140625" style="22" customWidth="1"/>
    <col min="15367" max="15367" width="19.44140625" style="22" customWidth="1"/>
    <col min="15368" max="15368" width="15.88671875" style="22" customWidth="1"/>
    <col min="15369" max="15369" width="11.44140625" style="22"/>
    <col min="15370" max="15370" width="12.33203125" style="22" bestFit="1" customWidth="1"/>
    <col min="15371" max="15615" width="11.44140625" style="22"/>
    <col min="15616" max="15616" width="6.5546875" style="22" customWidth="1"/>
    <col min="15617" max="15617" width="6.6640625" style="22" customWidth="1"/>
    <col min="15618" max="15618" width="8.44140625" style="22" bestFit="1" customWidth="1"/>
    <col min="15619" max="15619" width="75.33203125" style="22" customWidth="1"/>
    <col min="15620" max="15620" width="17" style="22" customWidth="1"/>
    <col min="15621" max="15621" width="17.44140625" style="22" customWidth="1"/>
    <col min="15622" max="15622" width="18.44140625" style="22" customWidth="1"/>
    <col min="15623" max="15623" width="19.44140625" style="22" customWidth="1"/>
    <col min="15624" max="15624" width="15.88671875" style="22" customWidth="1"/>
    <col min="15625" max="15625" width="11.44140625" style="22"/>
    <col min="15626" max="15626" width="12.33203125" style="22" bestFit="1" customWidth="1"/>
    <col min="15627" max="15871" width="11.44140625" style="22"/>
    <col min="15872" max="15872" width="6.5546875" style="22" customWidth="1"/>
    <col min="15873" max="15873" width="6.6640625" style="22" customWidth="1"/>
    <col min="15874" max="15874" width="8.44140625" style="22" bestFit="1" customWidth="1"/>
    <col min="15875" max="15875" width="75.33203125" style="22" customWidth="1"/>
    <col min="15876" max="15876" width="17" style="22" customWidth="1"/>
    <col min="15877" max="15877" width="17.44140625" style="22" customWidth="1"/>
    <col min="15878" max="15878" width="18.44140625" style="22" customWidth="1"/>
    <col min="15879" max="15879" width="19.44140625" style="22" customWidth="1"/>
    <col min="15880" max="15880" width="15.88671875" style="22" customWidth="1"/>
    <col min="15881" max="15881" width="11.44140625" style="22"/>
    <col min="15882" max="15882" width="12.33203125" style="22" bestFit="1" customWidth="1"/>
    <col min="15883" max="16127" width="11.44140625" style="22"/>
    <col min="16128" max="16128" width="6.5546875" style="22" customWidth="1"/>
    <col min="16129" max="16129" width="6.6640625" style="22" customWidth="1"/>
    <col min="16130" max="16130" width="8.44140625" style="22" bestFit="1" customWidth="1"/>
    <col min="16131" max="16131" width="75.33203125" style="22" customWidth="1"/>
    <col min="16132" max="16132" width="17" style="22" customWidth="1"/>
    <col min="16133" max="16133" width="17.44140625" style="22" customWidth="1"/>
    <col min="16134" max="16134" width="18.44140625" style="22" customWidth="1"/>
    <col min="16135" max="16135" width="19.44140625" style="22" customWidth="1"/>
    <col min="16136" max="16136" width="15.88671875" style="22" customWidth="1"/>
    <col min="16137" max="16137" width="11.44140625" style="22"/>
    <col min="16138" max="16138" width="12.33203125" style="22" bestFit="1" customWidth="1"/>
    <col min="16139" max="16384" width="11.44140625" style="22"/>
  </cols>
  <sheetData>
    <row r="2" spans="1:8" ht="17.399999999999999" customHeight="1" x14ac:dyDescent="0.3">
      <c r="A2" s="404" t="s">
        <v>706</v>
      </c>
      <c r="B2" s="405"/>
      <c r="C2" s="405"/>
      <c r="D2" s="405"/>
      <c r="E2" s="405"/>
      <c r="F2" s="405"/>
      <c r="G2" s="406"/>
      <c r="H2" s="21"/>
    </row>
    <row r="3" spans="1:8" x14ac:dyDescent="0.3">
      <c r="A3" s="215"/>
      <c r="B3" s="215"/>
      <c r="C3" s="215"/>
      <c r="D3" s="215"/>
      <c r="E3" s="216"/>
      <c r="F3" s="216"/>
      <c r="G3" s="216"/>
      <c r="H3" s="116"/>
    </row>
    <row r="4" spans="1:8" x14ac:dyDescent="0.3">
      <c r="A4" s="217" t="s">
        <v>693</v>
      </c>
      <c r="B4" s="218"/>
      <c r="C4" s="219"/>
      <c r="D4" s="219"/>
      <c r="E4" s="220" t="s">
        <v>685</v>
      </c>
      <c r="F4" s="221"/>
      <c r="G4" s="221"/>
      <c r="H4" s="222"/>
    </row>
    <row r="5" spans="1:8" x14ac:dyDescent="0.3">
      <c r="A5" s="217" t="s">
        <v>686</v>
      </c>
      <c r="B5" s="218"/>
      <c r="C5" s="218"/>
      <c r="D5" s="223"/>
      <c r="E5" s="220" t="s">
        <v>687</v>
      </c>
      <c r="F5" s="224"/>
      <c r="G5" s="224"/>
      <c r="H5" s="222"/>
    </row>
    <row r="6" spans="1:8" x14ac:dyDescent="0.3">
      <c r="A6" s="217" t="s">
        <v>694</v>
      </c>
      <c r="B6" s="218"/>
      <c r="C6" s="219"/>
      <c r="D6" s="223"/>
      <c r="E6" s="220" t="s">
        <v>688</v>
      </c>
      <c r="F6" s="224"/>
      <c r="G6" s="216"/>
      <c r="H6" s="222"/>
    </row>
    <row r="7" spans="1:8" x14ac:dyDescent="0.3">
      <c r="A7" s="217" t="s">
        <v>690</v>
      </c>
      <c r="B7" s="218"/>
      <c r="C7" s="219"/>
      <c r="D7" s="223"/>
      <c r="E7" s="220" t="s">
        <v>689</v>
      </c>
      <c r="F7" s="224"/>
      <c r="G7" s="216"/>
      <c r="H7" s="222"/>
    </row>
    <row r="8" spans="1:8" x14ac:dyDescent="0.3">
      <c r="A8" s="225" t="s">
        <v>691</v>
      </c>
      <c r="B8" s="218"/>
      <c r="C8" s="219"/>
      <c r="D8" s="223"/>
      <c r="E8" s="225"/>
      <c r="F8" s="224"/>
      <c r="G8" s="226"/>
      <c r="H8" s="222"/>
    </row>
    <row r="9" spans="1:8" ht="14.4" thickBot="1" x14ac:dyDescent="0.35"/>
    <row r="10" spans="1:8" ht="25.2" thickTop="1" thickBot="1" x14ac:dyDescent="0.35">
      <c r="A10" s="56" t="s">
        <v>0</v>
      </c>
      <c r="B10" s="56" t="s">
        <v>99</v>
      </c>
      <c r="C10" s="56" t="s">
        <v>0</v>
      </c>
      <c r="D10" s="57" t="s">
        <v>244</v>
      </c>
      <c r="E10" s="57" t="s">
        <v>388</v>
      </c>
      <c r="F10" s="57" t="s">
        <v>389</v>
      </c>
      <c r="G10" s="57" t="s">
        <v>155</v>
      </c>
    </row>
    <row r="11" spans="1:8" ht="23.4" thickTop="1" x14ac:dyDescent="0.3">
      <c r="A11" s="24">
        <v>1</v>
      </c>
      <c r="B11" s="25">
        <v>1</v>
      </c>
      <c r="C11" s="26" t="s">
        <v>390</v>
      </c>
      <c r="D11" s="27">
        <v>17909.900000000001</v>
      </c>
      <c r="E11" s="28">
        <v>13490</v>
      </c>
      <c r="F11" s="28">
        <v>19499</v>
      </c>
      <c r="G11" s="28">
        <f>AVERAGE(D11,E11,F11)</f>
        <v>16966.3</v>
      </c>
    </row>
    <row r="12" spans="1:8" x14ac:dyDescent="0.3">
      <c r="A12" s="126"/>
      <c r="B12" s="127"/>
      <c r="C12" s="128"/>
      <c r="D12" s="129"/>
      <c r="E12" s="130"/>
      <c r="F12" s="130"/>
      <c r="G12" s="131"/>
    </row>
    <row r="13" spans="1:8" ht="14.4" thickBot="1" x14ac:dyDescent="0.35">
      <c r="A13" s="132"/>
      <c r="B13" s="132"/>
      <c r="C13" s="133" t="s">
        <v>100</v>
      </c>
      <c r="D13" s="134">
        <f>SUM(D11:D11)</f>
        <v>17909.900000000001</v>
      </c>
      <c r="E13" s="134">
        <f>SUM(E11:E11)</f>
        <v>13490</v>
      </c>
      <c r="F13" s="134">
        <f>SUM(F11:F11)</f>
        <v>19499</v>
      </c>
      <c r="G13" s="135"/>
    </row>
    <row r="14" spans="1:8" ht="15" thickTop="1" thickBot="1" x14ac:dyDescent="0.35">
      <c r="A14" s="33"/>
      <c r="B14" s="34"/>
      <c r="C14" s="35"/>
      <c r="D14" s="409" t="s">
        <v>101</v>
      </c>
      <c r="E14" s="409"/>
      <c r="F14" s="409"/>
      <c r="G14" s="113">
        <f>SUM(G11:G11)</f>
        <v>16966.3</v>
      </c>
    </row>
    <row r="15" spans="1:8" ht="14.4" thickTop="1" x14ac:dyDescent="0.3">
      <c r="A15" s="97"/>
      <c r="B15" s="97"/>
      <c r="C15" s="98"/>
      <c r="D15" s="114"/>
      <c r="E15" s="114"/>
      <c r="F15" s="114"/>
      <c r="G15" s="99"/>
    </row>
    <row r="16" spans="1:8" ht="15.6" x14ac:dyDescent="0.3">
      <c r="A16" s="138"/>
      <c r="B16" s="138"/>
      <c r="C16" s="139" t="s">
        <v>143</v>
      </c>
      <c r="D16" s="140"/>
      <c r="E16" s="140"/>
      <c r="F16" s="140"/>
      <c r="G16" s="140"/>
    </row>
    <row r="17" spans="1:10" x14ac:dyDescent="0.3">
      <c r="A17" s="410" t="s">
        <v>244</v>
      </c>
      <c r="B17" s="410"/>
      <c r="C17" s="408" t="s">
        <v>385</v>
      </c>
      <c r="D17" s="411"/>
      <c r="E17" s="411"/>
      <c r="F17" s="411"/>
      <c r="G17" s="411"/>
    </row>
    <row r="18" spans="1:10" ht="29.4" customHeight="1" x14ac:dyDescent="0.3">
      <c r="A18" s="410" t="s">
        <v>388</v>
      </c>
      <c r="B18" s="410"/>
      <c r="C18" s="408" t="s">
        <v>386</v>
      </c>
      <c r="D18" s="408"/>
      <c r="E18" s="408"/>
      <c r="F18" s="408"/>
      <c r="G18" s="408"/>
    </row>
    <row r="19" spans="1:10" ht="14.4" x14ac:dyDescent="0.3">
      <c r="A19" s="407" t="s">
        <v>389</v>
      </c>
      <c r="B19" s="407"/>
      <c r="C19" s="408" t="s">
        <v>387</v>
      </c>
      <c r="D19" s="408"/>
      <c r="E19" s="408"/>
      <c r="F19" s="408"/>
      <c r="G19" s="408"/>
    </row>
    <row r="20" spans="1:10" ht="14.4" x14ac:dyDescent="0.3">
      <c r="A20" s="136"/>
      <c r="B20" s="136"/>
      <c r="C20" s="137"/>
      <c r="D20" s="137"/>
      <c r="E20" s="137"/>
      <c r="F20" s="137"/>
      <c r="G20" s="137"/>
    </row>
    <row r="21" spans="1:10" ht="14.4" thickBot="1" x14ac:dyDescent="0.35">
      <c r="D21" s="23"/>
      <c r="E21" s="23"/>
      <c r="F21" s="23"/>
      <c r="G21" s="23"/>
    </row>
    <row r="22" spans="1:10" ht="25.2" thickTop="1" thickBot="1" x14ac:dyDescent="0.35">
      <c r="A22" s="56" t="s">
        <v>0</v>
      </c>
      <c r="B22" s="56" t="s">
        <v>99</v>
      </c>
      <c r="C22" s="56" t="s">
        <v>0</v>
      </c>
      <c r="D22" s="57" t="s">
        <v>241</v>
      </c>
      <c r="E22" s="57" t="s">
        <v>244</v>
      </c>
      <c r="F22" s="57" t="s">
        <v>245</v>
      </c>
      <c r="G22" s="57" t="s">
        <v>155</v>
      </c>
    </row>
    <row r="23" spans="1:10" s="30" customFormat="1" ht="23.4" thickTop="1" x14ac:dyDescent="0.3">
      <c r="A23" s="24">
        <v>1</v>
      </c>
      <c r="B23" s="25">
        <v>1</v>
      </c>
      <c r="C23" s="26" t="s">
        <v>391</v>
      </c>
      <c r="D23" s="27">
        <f>687.1/4</f>
        <v>171.77500000000001</v>
      </c>
      <c r="E23" s="28">
        <f>1439.1/6</f>
        <v>239.85</v>
      </c>
      <c r="F23" s="28">
        <f>468/4</f>
        <v>117</v>
      </c>
      <c r="G23" s="28">
        <f>AVERAGE(D23,E23,F23)</f>
        <v>176.20833333333334</v>
      </c>
      <c r="H23" s="29"/>
      <c r="J23" s="29"/>
    </row>
    <row r="24" spans="1:10" s="30" customFormat="1" x14ac:dyDescent="0.3">
      <c r="A24" s="39"/>
      <c r="B24" s="40"/>
      <c r="C24" s="41"/>
      <c r="D24" s="42"/>
      <c r="E24" s="43"/>
      <c r="F24" s="43"/>
      <c r="G24" s="44"/>
      <c r="H24" s="29"/>
    </row>
    <row r="25" spans="1:10" s="32" customFormat="1" ht="14.4" thickBot="1" x14ac:dyDescent="0.35">
      <c r="A25" s="45"/>
      <c r="B25" s="45"/>
      <c r="C25" s="46" t="s">
        <v>100</v>
      </c>
      <c r="D25" s="47">
        <f>SUM(D23:D23)</f>
        <v>171.77500000000001</v>
      </c>
      <c r="E25" s="47">
        <f>SUM(E23:E23)</f>
        <v>239.85</v>
      </c>
      <c r="F25" s="47">
        <f>SUM(F23:F23)</f>
        <v>117</v>
      </c>
      <c r="G25" s="48"/>
      <c r="H25" s="31"/>
      <c r="J25" s="29"/>
    </row>
    <row r="26" spans="1:10" s="32" customFormat="1" ht="15" thickTop="1" thickBot="1" x14ac:dyDescent="0.35">
      <c r="A26" s="33"/>
      <c r="B26" s="34"/>
      <c r="C26" s="35"/>
      <c r="D26" s="409" t="s">
        <v>101</v>
      </c>
      <c r="E26" s="409"/>
      <c r="F26" s="409"/>
      <c r="G26" s="113">
        <f>SUM(G23:G23)</f>
        <v>176.20833333333334</v>
      </c>
    </row>
    <row r="27" spans="1:10" s="32" customFormat="1" ht="14.4" thickTop="1" x14ac:dyDescent="0.3">
      <c r="A27" s="97"/>
      <c r="B27" s="97"/>
      <c r="C27" s="98"/>
      <c r="D27" s="114"/>
      <c r="E27" s="114"/>
      <c r="F27" s="114"/>
      <c r="G27" s="99"/>
    </row>
    <row r="28" spans="1:10" ht="15.6" x14ac:dyDescent="0.3">
      <c r="A28" s="138"/>
      <c r="B28" s="138"/>
      <c r="C28" s="139" t="s">
        <v>143</v>
      </c>
      <c r="D28" s="140"/>
      <c r="E28" s="140"/>
      <c r="F28" s="140"/>
      <c r="G28" s="140"/>
    </row>
    <row r="29" spans="1:10" ht="25.5" customHeight="1" x14ac:dyDescent="0.3">
      <c r="A29" s="410" t="s">
        <v>241</v>
      </c>
      <c r="B29" s="410"/>
      <c r="C29" s="408" t="s">
        <v>246</v>
      </c>
      <c r="D29" s="411"/>
      <c r="E29" s="411"/>
      <c r="F29" s="411"/>
      <c r="G29" s="411"/>
    </row>
    <row r="30" spans="1:10" ht="31.8" customHeight="1" x14ac:dyDescent="0.3">
      <c r="A30" s="410" t="s">
        <v>244</v>
      </c>
      <c r="B30" s="410"/>
      <c r="C30" s="408" t="s">
        <v>247</v>
      </c>
      <c r="D30" s="408"/>
      <c r="E30" s="408"/>
      <c r="F30" s="408"/>
      <c r="G30" s="408"/>
      <c r="H30" s="115"/>
    </row>
    <row r="31" spans="1:10" ht="43.8" customHeight="1" x14ac:dyDescent="0.3">
      <c r="A31" s="407" t="s">
        <v>245</v>
      </c>
      <c r="B31" s="407"/>
      <c r="C31" s="408" t="s">
        <v>248</v>
      </c>
      <c r="D31" s="408"/>
      <c r="E31" s="408"/>
      <c r="F31" s="408"/>
      <c r="G31" s="408"/>
      <c r="H31" s="115"/>
    </row>
    <row r="32" spans="1:10" x14ac:dyDescent="0.3">
      <c r="A32" s="22"/>
      <c r="B32" s="22"/>
      <c r="D32" s="22"/>
      <c r="E32" s="22"/>
      <c r="F32" s="22"/>
      <c r="G32" s="22"/>
    </row>
    <row r="33" s="22" customFormat="1" x14ac:dyDescent="0.3"/>
    <row r="34" s="22" customFormat="1" x14ac:dyDescent="0.3"/>
    <row r="35" s="22" customFormat="1" x14ac:dyDescent="0.3"/>
    <row r="36" s="22" customFormat="1" x14ac:dyDescent="0.3"/>
    <row r="37" s="22" customFormat="1" x14ac:dyDescent="0.3"/>
    <row r="38" s="22" customFormat="1" x14ac:dyDescent="0.3"/>
    <row r="39" s="22" customFormat="1" x14ac:dyDescent="0.3"/>
  </sheetData>
  <mergeCells count="15">
    <mergeCell ref="D26:F26"/>
    <mergeCell ref="A29:B29"/>
    <mergeCell ref="A30:B30"/>
    <mergeCell ref="A31:B31"/>
    <mergeCell ref="C29:G29"/>
    <mergeCell ref="C30:G30"/>
    <mergeCell ref="C31:G31"/>
    <mergeCell ref="A2:G2"/>
    <mergeCell ref="A19:B19"/>
    <mergeCell ref="C19:G19"/>
    <mergeCell ref="D14:F14"/>
    <mergeCell ref="A17:B17"/>
    <mergeCell ref="C17:G17"/>
    <mergeCell ref="A18:B18"/>
    <mergeCell ref="C18:G18"/>
  </mergeCells>
  <hyperlinks>
    <hyperlink ref="C30" r:id="rId1" xr:uid="{00000000-0004-0000-0600-000000000000}"/>
    <hyperlink ref="C31" r:id="rId2" xr:uid="{00000000-0004-0000-0600-000001000000}"/>
    <hyperlink ref="C29" r:id="rId3" xr:uid="{00000000-0004-0000-0600-000002000000}"/>
    <hyperlink ref="C17" r:id="rId4" xr:uid="{14F55264-4516-4C9F-85E2-D1A98B2EA954}"/>
    <hyperlink ref="C18" r:id="rId5" xr:uid="{71566DF9-59D6-4C0A-8730-22B30AA6D832}"/>
    <hyperlink ref="C19" r:id="rId6" xr:uid="{761EA18C-AE64-4BEF-923F-7487F3E13472}"/>
  </hyperlinks>
  <printOptions horizontalCentered="1"/>
  <pageMargins left="0.51181102362204722" right="0.51181102362204722" top="1.1811023622047245" bottom="0.78740157480314965" header="0.31496062992125984" footer="0.31496062992125984"/>
  <pageSetup paperSize="9" orientation="landscape" horizontalDpi="4294967293" verticalDpi="1200" r:id="rId7"/>
  <headerFooter>
    <oddHeader>&amp;L&amp;G&amp;R&amp;G</oddHeader>
    <oddFooter>&amp;RPágina &amp;P de &amp;N</oddFooter>
  </headerFooter>
  <drawing r:id="rId8"/>
  <legacyDrawingHF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214A-4C23-44EB-82D1-15BCD5FD3BFA}">
  <dimension ref="A2:M87"/>
  <sheetViews>
    <sheetView topLeftCell="A78" workbookViewId="0">
      <selection activeCell="G96" sqref="G96"/>
    </sheetView>
  </sheetViews>
  <sheetFormatPr defaultRowHeight="14.4" x14ac:dyDescent="0.3"/>
  <cols>
    <col min="1" max="1" width="7.77734375" style="38" customWidth="1"/>
    <col min="2" max="2" width="9.5546875" style="38" customWidth="1"/>
    <col min="3" max="3" width="11" style="38" customWidth="1"/>
    <col min="4" max="4" width="59.21875" style="49" customWidth="1"/>
    <col min="5" max="5" width="9.6640625" style="49" customWidth="1"/>
    <col min="6" max="6" width="9.109375" style="49" customWidth="1"/>
    <col min="7" max="8" width="13.109375" style="49" bestFit="1" customWidth="1"/>
    <col min="9" max="9" width="17" style="49" bestFit="1" customWidth="1"/>
    <col min="10" max="10" width="9.6640625" style="49" bestFit="1" customWidth="1"/>
    <col min="11" max="16384" width="8.88671875" style="49"/>
  </cols>
  <sheetData>
    <row r="2" spans="1:10" ht="17.399999999999999" customHeight="1" x14ac:dyDescent="0.3">
      <c r="A2" s="412" t="s">
        <v>124</v>
      </c>
      <c r="B2" s="412"/>
      <c r="C2" s="412"/>
      <c r="D2" s="412"/>
      <c r="E2" s="412"/>
      <c r="F2" s="412"/>
      <c r="G2" s="412"/>
      <c r="H2" s="412"/>
      <c r="I2" s="412"/>
      <c r="J2" s="412"/>
    </row>
    <row r="3" spans="1:10" x14ac:dyDescent="0.3">
      <c r="A3" s="215"/>
      <c r="B3" s="215"/>
      <c r="C3" s="215"/>
      <c r="D3" s="215"/>
      <c r="E3" s="216"/>
      <c r="F3" s="216"/>
      <c r="G3" s="216"/>
      <c r="H3" s="116"/>
    </row>
    <row r="4" spans="1:10" x14ac:dyDescent="0.3">
      <c r="A4" s="217" t="s">
        <v>693</v>
      </c>
      <c r="B4" s="218"/>
      <c r="C4" s="219"/>
      <c r="D4" s="219"/>
      <c r="E4" s="220" t="s">
        <v>685</v>
      </c>
      <c r="F4" s="221"/>
      <c r="G4" s="221"/>
      <c r="H4" s="222"/>
    </row>
    <row r="5" spans="1:10" x14ac:dyDescent="0.3">
      <c r="A5" s="217" t="s">
        <v>686</v>
      </c>
      <c r="B5" s="218"/>
      <c r="C5" s="218"/>
      <c r="D5" s="223"/>
      <c r="E5" s="220" t="s">
        <v>687</v>
      </c>
      <c r="F5" s="224"/>
      <c r="G5" s="224"/>
      <c r="H5" s="222"/>
    </row>
    <row r="6" spans="1:10" x14ac:dyDescent="0.3">
      <c r="A6" s="217" t="s">
        <v>694</v>
      </c>
      <c r="B6" s="218"/>
      <c r="C6" s="219"/>
      <c r="D6" s="223"/>
      <c r="E6" s="220" t="s">
        <v>688</v>
      </c>
      <c r="F6" s="224"/>
      <c r="G6" s="216"/>
      <c r="H6" s="222"/>
    </row>
    <row r="7" spans="1:10" x14ac:dyDescent="0.3">
      <c r="A7" s="217" t="s">
        <v>690</v>
      </c>
      <c r="B7" s="218"/>
      <c r="C7" s="219"/>
      <c r="D7" s="223"/>
      <c r="E7" s="220" t="s">
        <v>689</v>
      </c>
      <c r="F7" s="224"/>
      <c r="G7" s="216"/>
      <c r="H7" s="222"/>
    </row>
    <row r="8" spans="1:10" x14ac:dyDescent="0.3">
      <c r="A8" s="225" t="s">
        <v>691</v>
      </c>
      <c r="B8" s="218"/>
      <c r="C8" s="219"/>
      <c r="D8" s="223"/>
      <c r="E8" s="225"/>
      <c r="F8" s="224"/>
      <c r="G8" s="226"/>
      <c r="H8" s="222"/>
    </row>
    <row r="9" spans="1:10" ht="15" thickBot="1" x14ac:dyDescent="0.35"/>
    <row r="10" spans="1:10" ht="30" customHeight="1" thickBot="1" x14ac:dyDescent="0.35">
      <c r="A10" s="267" t="s">
        <v>157</v>
      </c>
      <c r="B10" s="267" t="s">
        <v>158</v>
      </c>
      <c r="C10" s="267" t="s">
        <v>159</v>
      </c>
      <c r="D10" s="267" t="s">
        <v>160</v>
      </c>
      <c r="E10" s="267" t="s">
        <v>161</v>
      </c>
      <c r="F10" s="267" t="s">
        <v>162</v>
      </c>
      <c r="G10" s="267" t="s">
        <v>163</v>
      </c>
      <c r="H10" s="267" t="s">
        <v>164</v>
      </c>
      <c r="I10" s="267" t="s">
        <v>165</v>
      </c>
      <c r="J10" s="267" t="s">
        <v>166</v>
      </c>
    </row>
    <row r="11" spans="1:10" x14ac:dyDescent="0.3">
      <c r="A11" s="278" t="s">
        <v>167</v>
      </c>
      <c r="B11" s="269"/>
      <c r="C11" s="269"/>
      <c r="D11" s="270" t="s">
        <v>171</v>
      </c>
      <c r="E11" s="269"/>
      <c r="F11" s="279"/>
      <c r="G11" s="280"/>
      <c r="H11" s="280"/>
      <c r="I11" s="281">
        <v>46050.64</v>
      </c>
      <c r="J11" s="282">
        <v>0.15597247213880944</v>
      </c>
    </row>
    <row r="12" spans="1:10" ht="52.8" x14ac:dyDescent="0.3">
      <c r="A12" s="283" t="s">
        <v>168</v>
      </c>
      <c r="B12" s="276" t="s">
        <v>397</v>
      </c>
      <c r="C12" s="276" t="s">
        <v>7</v>
      </c>
      <c r="D12" s="277" t="s">
        <v>398</v>
      </c>
      <c r="E12" s="276" t="s">
        <v>11</v>
      </c>
      <c r="F12" s="265">
        <v>31.15</v>
      </c>
      <c r="G12" s="266">
        <v>196.29</v>
      </c>
      <c r="H12" s="266">
        <v>236.72</v>
      </c>
      <c r="I12" s="266">
        <v>7373.82</v>
      </c>
      <c r="J12" s="284">
        <v>2.4974960923596193E-2</v>
      </c>
    </row>
    <row r="13" spans="1:10" ht="52.8" x14ac:dyDescent="0.3">
      <c r="A13" s="283" t="s">
        <v>399</v>
      </c>
      <c r="B13" s="276" t="s">
        <v>400</v>
      </c>
      <c r="C13" s="276" t="s">
        <v>7</v>
      </c>
      <c r="D13" s="277" t="s">
        <v>401</v>
      </c>
      <c r="E13" s="276" t="s">
        <v>11</v>
      </c>
      <c r="F13" s="265">
        <v>31.15</v>
      </c>
      <c r="G13" s="266">
        <v>38.61</v>
      </c>
      <c r="H13" s="266">
        <v>46.56</v>
      </c>
      <c r="I13" s="266">
        <v>1450.34</v>
      </c>
      <c r="J13" s="284">
        <v>4.9122686512456911E-3</v>
      </c>
    </row>
    <row r="14" spans="1:10" x14ac:dyDescent="0.3">
      <c r="A14" s="283" t="s">
        <v>402</v>
      </c>
      <c r="B14" s="276" t="s">
        <v>176</v>
      </c>
      <c r="C14" s="276" t="s">
        <v>7</v>
      </c>
      <c r="D14" s="277" t="s">
        <v>177</v>
      </c>
      <c r="E14" s="276" t="s">
        <v>8</v>
      </c>
      <c r="F14" s="265">
        <v>185</v>
      </c>
      <c r="G14" s="266">
        <v>127.59</v>
      </c>
      <c r="H14" s="266">
        <v>153.87</v>
      </c>
      <c r="I14" s="266">
        <v>28465.95</v>
      </c>
      <c r="J14" s="284">
        <v>9.6413526354459836E-2</v>
      </c>
    </row>
    <row r="15" spans="1:10" x14ac:dyDescent="0.3">
      <c r="A15" s="283" t="s">
        <v>403</v>
      </c>
      <c r="B15" s="276" t="s">
        <v>404</v>
      </c>
      <c r="C15" s="276" t="s">
        <v>169</v>
      </c>
      <c r="D15" s="277" t="s">
        <v>179</v>
      </c>
      <c r="E15" s="276" t="s">
        <v>95</v>
      </c>
      <c r="F15" s="265">
        <v>4.5</v>
      </c>
      <c r="G15" s="266">
        <v>396.09</v>
      </c>
      <c r="H15" s="266">
        <v>477.68</v>
      </c>
      <c r="I15" s="266">
        <v>2149.56</v>
      </c>
      <c r="J15" s="284">
        <v>7.2805109160415408E-3</v>
      </c>
    </row>
    <row r="16" spans="1:10" ht="39.6" x14ac:dyDescent="0.3">
      <c r="A16" s="283" t="s">
        <v>405</v>
      </c>
      <c r="B16" s="276" t="s">
        <v>181</v>
      </c>
      <c r="C16" s="276" t="s">
        <v>7</v>
      </c>
      <c r="D16" s="277" t="s">
        <v>182</v>
      </c>
      <c r="E16" s="276" t="s">
        <v>97</v>
      </c>
      <c r="F16" s="265">
        <v>92.5</v>
      </c>
      <c r="G16" s="266">
        <v>59.27</v>
      </c>
      <c r="H16" s="266">
        <v>71.47</v>
      </c>
      <c r="I16" s="266">
        <v>6610.97</v>
      </c>
      <c r="J16" s="284">
        <v>2.2391205293466172E-2</v>
      </c>
    </row>
    <row r="17" spans="1:10" x14ac:dyDescent="0.3">
      <c r="A17" s="285" t="s">
        <v>170</v>
      </c>
      <c r="B17" s="256"/>
      <c r="C17" s="256"/>
      <c r="D17" s="257" t="s">
        <v>268</v>
      </c>
      <c r="E17" s="256"/>
      <c r="F17" s="260"/>
      <c r="G17" s="262"/>
      <c r="H17" s="262"/>
      <c r="I17" s="263">
        <v>59597.19</v>
      </c>
      <c r="J17" s="286">
        <v>0.20185432942574374</v>
      </c>
    </row>
    <row r="18" spans="1:10" ht="26.4" x14ac:dyDescent="0.3">
      <c r="A18" s="283" t="s">
        <v>172</v>
      </c>
      <c r="B18" s="276" t="s">
        <v>193</v>
      </c>
      <c r="C18" s="276" t="s">
        <v>7</v>
      </c>
      <c r="D18" s="277" t="s">
        <v>130</v>
      </c>
      <c r="E18" s="276" t="s">
        <v>11</v>
      </c>
      <c r="F18" s="265">
        <v>27.96</v>
      </c>
      <c r="G18" s="266">
        <v>80.78</v>
      </c>
      <c r="H18" s="266">
        <v>97.42</v>
      </c>
      <c r="I18" s="266">
        <v>2723.86</v>
      </c>
      <c r="J18" s="284">
        <v>9.2256519770413069E-3</v>
      </c>
    </row>
    <row r="19" spans="1:10" ht="26.4" x14ac:dyDescent="0.3">
      <c r="A19" s="283" t="s">
        <v>173</v>
      </c>
      <c r="B19" s="276" t="s">
        <v>406</v>
      </c>
      <c r="C19" s="276" t="s">
        <v>7</v>
      </c>
      <c r="D19" s="277" t="s">
        <v>407</v>
      </c>
      <c r="E19" s="276" t="s">
        <v>8</v>
      </c>
      <c r="F19" s="265">
        <v>51.32</v>
      </c>
      <c r="G19" s="266">
        <v>5.96</v>
      </c>
      <c r="H19" s="266">
        <v>7.18</v>
      </c>
      <c r="I19" s="266">
        <v>368.47</v>
      </c>
      <c r="J19" s="284">
        <v>1.2479995241974295E-3</v>
      </c>
    </row>
    <row r="20" spans="1:10" ht="26.4" x14ac:dyDescent="0.3">
      <c r="A20" s="283" t="s">
        <v>174</v>
      </c>
      <c r="B20" s="276" t="s">
        <v>189</v>
      </c>
      <c r="C20" s="276" t="s">
        <v>7</v>
      </c>
      <c r="D20" s="277" t="s">
        <v>190</v>
      </c>
      <c r="E20" s="276" t="s">
        <v>8</v>
      </c>
      <c r="F20" s="265">
        <v>66.44</v>
      </c>
      <c r="G20" s="266">
        <v>30.74</v>
      </c>
      <c r="H20" s="266">
        <v>37.07</v>
      </c>
      <c r="I20" s="266">
        <v>2462.9299999999998</v>
      </c>
      <c r="J20" s="284">
        <v>8.3418879912382955E-3</v>
      </c>
    </row>
    <row r="21" spans="1:10" ht="26.4" x14ac:dyDescent="0.3">
      <c r="A21" s="283" t="s">
        <v>175</v>
      </c>
      <c r="B21" s="276" t="s">
        <v>408</v>
      </c>
      <c r="C21" s="276" t="s">
        <v>169</v>
      </c>
      <c r="D21" s="277" t="s">
        <v>409</v>
      </c>
      <c r="E21" s="276" t="s">
        <v>95</v>
      </c>
      <c r="F21" s="265">
        <v>186.92</v>
      </c>
      <c r="G21" s="266">
        <v>158.86000000000001</v>
      </c>
      <c r="H21" s="266">
        <v>191.58</v>
      </c>
      <c r="I21" s="266">
        <v>35810.129999999997</v>
      </c>
      <c r="J21" s="284">
        <v>0.12128809727100739</v>
      </c>
    </row>
    <row r="22" spans="1:10" ht="26.4" x14ac:dyDescent="0.3">
      <c r="A22" s="283" t="s">
        <v>178</v>
      </c>
      <c r="B22" s="276" t="s">
        <v>186</v>
      </c>
      <c r="C22" s="276" t="s">
        <v>7</v>
      </c>
      <c r="D22" s="277" t="s">
        <v>187</v>
      </c>
      <c r="E22" s="276" t="s">
        <v>11</v>
      </c>
      <c r="F22" s="265">
        <v>23.35</v>
      </c>
      <c r="G22" s="266">
        <v>35.159999999999997</v>
      </c>
      <c r="H22" s="266">
        <v>42.4</v>
      </c>
      <c r="I22" s="266">
        <v>990.04</v>
      </c>
      <c r="J22" s="284">
        <v>3.3532430019714578E-3</v>
      </c>
    </row>
    <row r="23" spans="1:10" ht="52.8" x14ac:dyDescent="0.3">
      <c r="A23" s="283" t="s">
        <v>180</v>
      </c>
      <c r="B23" s="276" t="s">
        <v>195</v>
      </c>
      <c r="C23" s="276" t="s">
        <v>7</v>
      </c>
      <c r="D23" s="277" t="s">
        <v>131</v>
      </c>
      <c r="E23" s="276" t="s">
        <v>8</v>
      </c>
      <c r="F23" s="265">
        <v>10.51</v>
      </c>
      <c r="G23" s="266">
        <v>79.63</v>
      </c>
      <c r="H23" s="266">
        <v>96.03</v>
      </c>
      <c r="I23" s="266">
        <v>1009.27</v>
      </c>
      <c r="J23" s="284">
        <v>3.4183745753704228E-3</v>
      </c>
    </row>
    <row r="24" spans="1:10" ht="39.6" x14ac:dyDescent="0.3">
      <c r="A24" s="283" t="s">
        <v>410</v>
      </c>
      <c r="B24" s="276" t="s">
        <v>411</v>
      </c>
      <c r="C24" s="276" t="s">
        <v>7</v>
      </c>
      <c r="D24" s="277" t="s">
        <v>412</v>
      </c>
      <c r="E24" s="276" t="s">
        <v>8</v>
      </c>
      <c r="F24" s="265">
        <v>11.52</v>
      </c>
      <c r="G24" s="266">
        <v>276.77</v>
      </c>
      <c r="H24" s="266">
        <v>333.78</v>
      </c>
      <c r="I24" s="266">
        <v>3845.14</v>
      </c>
      <c r="J24" s="284">
        <v>1.3023401879318544E-2</v>
      </c>
    </row>
    <row r="25" spans="1:10" ht="52.8" x14ac:dyDescent="0.3">
      <c r="A25" s="283" t="s">
        <v>413</v>
      </c>
      <c r="B25" s="276" t="s">
        <v>414</v>
      </c>
      <c r="C25" s="276" t="s">
        <v>7</v>
      </c>
      <c r="D25" s="277" t="s">
        <v>415</v>
      </c>
      <c r="E25" s="276" t="s">
        <v>8</v>
      </c>
      <c r="F25" s="265">
        <v>22.68</v>
      </c>
      <c r="G25" s="266">
        <v>85.01</v>
      </c>
      <c r="H25" s="266">
        <v>102.52</v>
      </c>
      <c r="I25" s="266">
        <v>2325.15</v>
      </c>
      <c r="J25" s="284">
        <v>7.875230259417736E-3</v>
      </c>
    </row>
    <row r="26" spans="1:10" ht="39.6" x14ac:dyDescent="0.3">
      <c r="A26" s="283" t="s">
        <v>416</v>
      </c>
      <c r="B26" s="276" t="s">
        <v>417</v>
      </c>
      <c r="C26" s="276" t="s">
        <v>7</v>
      </c>
      <c r="D26" s="277" t="s">
        <v>418</v>
      </c>
      <c r="E26" s="276" t="s">
        <v>8</v>
      </c>
      <c r="F26" s="265">
        <v>27.28</v>
      </c>
      <c r="G26" s="266">
        <v>52.06</v>
      </c>
      <c r="H26" s="266">
        <v>62.78</v>
      </c>
      <c r="I26" s="266">
        <v>1712.63</v>
      </c>
      <c r="J26" s="284">
        <v>5.8006389261710412E-3</v>
      </c>
    </row>
    <row r="27" spans="1:10" ht="39.6" x14ac:dyDescent="0.3">
      <c r="A27" s="283" t="s">
        <v>419</v>
      </c>
      <c r="B27" s="276" t="s">
        <v>420</v>
      </c>
      <c r="C27" s="276" t="s">
        <v>7</v>
      </c>
      <c r="D27" s="277" t="s">
        <v>421</v>
      </c>
      <c r="E27" s="276" t="s">
        <v>96</v>
      </c>
      <c r="F27" s="265">
        <v>41</v>
      </c>
      <c r="G27" s="266">
        <v>15.71</v>
      </c>
      <c r="H27" s="266">
        <v>18.940000000000001</v>
      </c>
      <c r="I27" s="266">
        <v>776.54</v>
      </c>
      <c r="J27" s="284">
        <v>2.6301233493100438E-3</v>
      </c>
    </row>
    <row r="28" spans="1:10" ht="39.6" x14ac:dyDescent="0.3">
      <c r="A28" s="283" t="s">
        <v>422</v>
      </c>
      <c r="B28" s="276" t="s">
        <v>423</v>
      </c>
      <c r="C28" s="276" t="s">
        <v>7</v>
      </c>
      <c r="D28" s="277" t="s">
        <v>424</v>
      </c>
      <c r="E28" s="276" t="s">
        <v>96</v>
      </c>
      <c r="F28" s="265">
        <v>141</v>
      </c>
      <c r="G28" s="266">
        <v>14.63</v>
      </c>
      <c r="H28" s="266">
        <v>17.64</v>
      </c>
      <c r="I28" s="266">
        <v>2487.2399999999998</v>
      </c>
      <c r="J28" s="284">
        <v>8.4242254093001186E-3</v>
      </c>
    </row>
    <row r="29" spans="1:10" ht="39.6" x14ac:dyDescent="0.3">
      <c r="A29" s="283" t="s">
        <v>425</v>
      </c>
      <c r="B29" s="276" t="s">
        <v>426</v>
      </c>
      <c r="C29" s="276" t="s">
        <v>7</v>
      </c>
      <c r="D29" s="277" t="s">
        <v>427</v>
      </c>
      <c r="E29" s="276" t="s">
        <v>96</v>
      </c>
      <c r="F29" s="265">
        <v>100</v>
      </c>
      <c r="G29" s="266">
        <v>13.23</v>
      </c>
      <c r="H29" s="266">
        <v>15.95</v>
      </c>
      <c r="I29" s="266">
        <v>1595</v>
      </c>
      <c r="J29" s="284">
        <v>5.4022287868616169E-3</v>
      </c>
    </row>
    <row r="30" spans="1:10" ht="39.6" x14ac:dyDescent="0.3">
      <c r="A30" s="283" t="s">
        <v>428</v>
      </c>
      <c r="B30" s="276" t="s">
        <v>429</v>
      </c>
      <c r="C30" s="276" t="s">
        <v>7</v>
      </c>
      <c r="D30" s="277" t="s">
        <v>138</v>
      </c>
      <c r="E30" s="276" t="s">
        <v>11</v>
      </c>
      <c r="F30" s="265">
        <v>4.1399999999999997</v>
      </c>
      <c r="G30" s="266">
        <v>491.64</v>
      </c>
      <c r="H30" s="266">
        <v>592.91</v>
      </c>
      <c r="I30" s="266">
        <v>2454.64</v>
      </c>
      <c r="J30" s="284">
        <v>8.3138099494557988E-3</v>
      </c>
    </row>
    <row r="31" spans="1:10" ht="26.4" x14ac:dyDescent="0.3">
      <c r="A31" s="283" t="s">
        <v>430</v>
      </c>
      <c r="B31" s="276" t="s">
        <v>431</v>
      </c>
      <c r="C31" s="276" t="s">
        <v>7</v>
      </c>
      <c r="D31" s="277" t="s">
        <v>137</v>
      </c>
      <c r="E31" s="276" t="s">
        <v>11</v>
      </c>
      <c r="F31" s="265">
        <v>4.1399999999999997</v>
      </c>
      <c r="G31" s="266">
        <v>207.53</v>
      </c>
      <c r="H31" s="266">
        <v>250.28</v>
      </c>
      <c r="I31" s="266">
        <v>1036.1500000000001</v>
      </c>
      <c r="J31" s="284">
        <v>3.5094165250825482E-3</v>
      </c>
    </row>
    <row r="32" spans="1:10" x14ac:dyDescent="0.3">
      <c r="A32" s="285" t="s">
        <v>183</v>
      </c>
      <c r="B32" s="256"/>
      <c r="C32" s="256"/>
      <c r="D32" s="257" t="s">
        <v>325</v>
      </c>
      <c r="E32" s="256"/>
      <c r="F32" s="260"/>
      <c r="G32" s="262"/>
      <c r="H32" s="262"/>
      <c r="I32" s="263">
        <v>14125.32</v>
      </c>
      <c r="J32" s="286">
        <v>4.7842138136446478E-2</v>
      </c>
    </row>
    <row r="33" spans="1:10" ht="52.8" x14ac:dyDescent="0.3">
      <c r="A33" s="283" t="s">
        <v>184</v>
      </c>
      <c r="B33" s="276" t="s">
        <v>219</v>
      </c>
      <c r="C33" s="276" t="s">
        <v>7</v>
      </c>
      <c r="D33" s="277" t="s">
        <v>432</v>
      </c>
      <c r="E33" s="276" t="s">
        <v>8</v>
      </c>
      <c r="F33" s="265">
        <v>164.3</v>
      </c>
      <c r="G33" s="266">
        <v>6.49</v>
      </c>
      <c r="H33" s="266">
        <v>7.82</v>
      </c>
      <c r="I33" s="266">
        <v>1284.82</v>
      </c>
      <c r="J33" s="284">
        <v>4.3516561692385847E-3</v>
      </c>
    </row>
    <row r="34" spans="1:10" ht="52.8" x14ac:dyDescent="0.3">
      <c r="A34" s="283" t="s">
        <v>185</v>
      </c>
      <c r="B34" s="276" t="s">
        <v>221</v>
      </c>
      <c r="C34" s="276" t="s">
        <v>7</v>
      </c>
      <c r="D34" s="277" t="s">
        <v>433</v>
      </c>
      <c r="E34" s="276" t="s">
        <v>8</v>
      </c>
      <c r="F34" s="265">
        <v>164.3</v>
      </c>
      <c r="G34" s="266">
        <v>43.92</v>
      </c>
      <c r="H34" s="266">
        <v>52.96</v>
      </c>
      <c r="I34" s="266">
        <v>8701.32</v>
      </c>
      <c r="J34" s="284">
        <v>2.9471173283821143E-2</v>
      </c>
    </row>
    <row r="35" spans="1:10" ht="39.6" x14ac:dyDescent="0.3">
      <c r="A35" s="283" t="s">
        <v>188</v>
      </c>
      <c r="B35" s="276" t="s">
        <v>434</v>
      </c>
      <c r="C35" s="276" t="s">
        <v>7</v>
      </c>
      <c r="D35" s="277" t="s">
        <v>435</v>
      </c>
      <c r="E35" s="276" t="s">
        <v>8</v>
      </c>
      <c r="F35" s="265">
        <v>49.96</v>
      </c>
      <c r="G35" s="266">
        <v>68.7</v>
      </c>
      <c r="H35" s="266">
        <v>82.85</v>
      </c>
      <c r="I35" s="266">
        <v>4139.18</v>
      </c>
      <c r="J35" s="284">
        <v>1.4019308683386751E-2</v>
      </c>
    </row>
    <row r="36" spans="1:10" x14ac:dyDescent="0.3">
      <c r="A36" s="285" t="s">
        <v>191</v>
      </c>
      <c r="B36" s="256"/>
      <c r="C36" s="256"/>
      <c r="D36" s="257" t="s">
        <v>326</v>
      </c>
      <c r="E36" s="256"/>
      <c r="F36" s="260"/>
      <c r="G36" s="262"/>
      <c r="H36" s="262"/>
      <c r="I36" s="263">
        <v>51697.919999999998</v>
      </c>
      <c r="J36" s="286">
        <v>0.17509968128204947</v>
      </c>
    </row>
    <row r="37" spans="1:10" ht="26.4" x14ac:dyDescent="0.3">
      <c r="A37" s="283" t="s">
        <v>192</v>
      </c>
      <c r="B37" s="276" t="s">
        <v>189</v>
      </c>
      <c r="C37" s="276" t="s">
        <v>7</v>
      </c>
      <c r="D37" s="277" t="s">
        <v>190</v>
      </c>
      <c r="E37" s="276" t="s">
        <v>8</v>
      </c>
      <c r="F37" s="265">
        <v>57.75</v>
      </c>
      <c r="G37" s="266">
        <v>30.74</v>
      </c>
      <c r="H37" s="266">
        <v>37.07</v>
      </c>
      <c r="I37" s="266">
        <v>2140.79</v>
      </c>
      <c r="J37" s="284">
        <v>7.2508071251570416E-3</v>
      </c>
    </row>
    <row r="38" spans="1:10" ht="52.8" x14ac:dyDescent="0.3">
      <c r="A38" s="283" t="s">
        <v>194</v>
      </c>
      <c r="B38" s="276" t="s">
        <v>225</v>
      </c>
      <c r="C38" s="276" t="s">
        <v>7</v>
      </c>
      <c r="D38" s="277" t="s">
        <v>135</v>
      </c>
      <c r="E38" s="276" t="s">
        <v>8</v>
      </c>
      <c r="F38" s="265">
        <v>72.87</v>
      </c>
      <c r="G38" s="266">
        <v>51.45</v>
      </c>
      <c r="H38" s="266">
        <v>62.04</v>
      </c>
      <c r="I38" s="266">
        <v>4520.8500000000004</v>
      </c>
      <c r="J38" s="284">
        <v>1.5312016307889241E-2</v>
      </c>
    </row>
    <row r="39" spans="1:10" ht="66" x14ac:dyDescent="0.3">
      <c r="A39" s="283" t="s">
        <v>436</v>
      </c>
      <c r="B39" s="276" t="s">
        <v>223</v>
      </c>
      <c r="C39" s="276" t="s">
        <v>7</v>
      </c>
      <c r="D39" s="277" t="s">
        <v>437</v>
      </c>
      <c r="E39" s="276" t="s">
        <v>97</v>
      </c>
      <c r="F39" s="265">
        <v>91.22</v>
      </c>
      <c r="G39" s="266">
        <v>59.49</v>
      </c>
      <c r="H39" s="266">
        <v>71.739999999999995</v>
      </c>
      <c r="I39" s="266">
        <v>6544.12</v>
      </c>
      <c r="J39" s="284">
        <v>2.2164785861239402E-2</v>
      </c>
    </row>
    <row r="40" spans="1:10" ht="39.6" x14ac:dyDescent="0.3">
      <c r="A40" s="283" t="s">
        <v>438</v>
      </c>
      <c r="B40" s="276" t="s">
        <v>439</v>
      </c>
      <c r="C40" s="276" t="s">
        <v>7</v>
      </c>
      <c r="D40" s="277" t="s">
        <v>440</v>
      </c>
      <c r="E40" s="276" t="s">
        <v>8</v>
      </c>
      <c r="F40" s="265">
        <v>295.68</v>
      </c>
      <c r="G40" s="266">
        <v>70.5</v>
      </c>
      <c r="H40" s="266">
        <v>85.02</v>
      </c>
      <c r="I40" s="266">
        <v>25138.71</v>
      </c>
      <c r="J40" s="284">
        <v>8.5144240016655798E-2</v>
      </c>
    </row>
    <row r="41" spans="1:10" ht="39.6" x14ac:dyDescent="0.3">
      <c r="A41" s="283" t="s">
        <v>441</v>
      </c>
      <c r="B41" s="276" t="s">
        <v>222</v>
      </c>
      <c r="C41" s="276" t="s">
        <v>7</v>
      </c>
      <c r="D41" s="277" t="s">
        <v>442</v>
      </c>
      <c r="E41" s="276" t="s">
        <v>8</v>
      </c>
      <c r="F41" s="265">
        <v>48.68</v>
      </c>
      <c r="G41" s="266">
        <v>77.569999999999993</v>
      </c>
      <c r="H41" s="266">
        <v>93.54</v>
      </c>
      <c r="I41" s="266">
        <v>4553.5200000000004</v>
      </c>
      <c r="J41" s="284">
        <v>1.5422668856144271E-2</v>
      </c>
    </row>
    <row r="42" spans="1:10" ht="39.6" x14ac:dyDescent="0.3">
      <c r="A42" s="283" t="s">
        <v>443</v>
      </c>
      <c r="B42" s="276" t="s">
        <v>444</v>
      </c>
      <c r="C42" s="276" t="s">
        <v>43</v>
      </c>
      <c r="D42" s="277" t="s">
        <v>445</v>
      </c>
      <c r="E42" s="276" t="s">
        <v>8</v>
      </c>
      <c r="F42" s="265">
        <v>51.99</v>
      </c>
      <c r="G42" s="266">
        <v>61.9</v>
      </c>
      <c r="H42" s="266">
        <v>74.650000000000006</v>
      </c>
      <c r="I42" s="266">
        <v>3881.05</v>
      </c>
      <c r="J42" s="284">
        <v>1.3145028234012087E-2</v>
      </c>
    </row>
    <row r="43" spans="1:10" ht="39.6" x14ac:dyDescent="0.3">
      <c r="A43" s="283" t="s">
        <v>446</v>
      </c>
      <c r="B43" s="276" t="s">
        <v>447</v>
      </c>
      <c r="C43" s="276" t="s">
        <v>43</v>
      </c>
      <c r="D43" s="277" t="s">
        <v>448</v>
      </c>
      <c r="E43" s="276" t="s">
        <v>8</v>
      </c>
      <c r="F43" s="265">
        <v>43.3</v>
      </c>
      <c r="G43" s="266">
        <v>94.2</v>
      </c>
      <c r="H43" s="266">
        <v>113.6</v>
      </c>
      <c r="I43" s="266">
        <v>4918.88</v>
      </c>
      <c r="J43" s="284">
        <v>1.6660134880951642E-2</v>
      </c>
    </row>
    <row r="44" spans="1:10" x14ac:dyDescent="0.3">
      <c r="A44" s="285" t="s">
        <v>196</v>
      </c>
      <c r="B44" s="256"/>
      <c r="C44" s="256"/>
      <c r="D44" s="257" t="s">
        <v>32</v>
      </c>
      <c r="E44" s="256"/>
      <c r="F44" s="260"/>
      <c r="G44" s="262"/>
      <c r="H44" s="262"/>
      <c r="I44" s="263">
        <v>3611.16</v>
      </c>
      <c r="J44" s="286">
        <v>1.2230916931638369E-2</v>
      </c>
    </row>
    <row r="45" spans="1:10" ht="26.4" x14ac:dyDescent="0.3">
      <c r="A45" s="283" t="s">
        <v>197</v>
      </c>
      <c r="B45" s="276" t="s">
        <v>226</v>
      </c>
      <c r="C45" s="276" t="s">
        <v>7</v>
      </c>
      <c r="D45" s="277" t="s">
        <v>144</v>
      </c>
      <c r="E45" s="276" t="s">
        <v>8</v>
      </c>
      <c r="F45" s="265">
        <v>146.47999999999999</v>
      </c>
      <c r="G45" s="266">
        <v>2.86</v>
      </c>
      <c r="H45" s="266">
        <v>3.44</v>
      </c>
      <c r="I45" s="266">
        <v>503.89</v>
      </c>
      <c r="J45" s="284">
        <v>1.706663989599812E-3</v>
      </c>
    </row>
    <row r="46" spans="1:10" ht="26.4" x14ac:dyDescent="0.3">
      <c r="A46" s="283" t="s">
        <v>199</v>
      </c>
      <c r="B46" s="276" t="s">
        <v>227</v>
      </c>
      <c r="C46" s="276" t="s">
        <v>7</v>
      </c>
      <c r="D46" s="277" t="s">
        <v>134</v>
      </c>
      <c r="E46" s="276" t="s">
        <v>8</v>
      </c>
      <c r="F46" s="265">
        <v>146.47999999999999</v>
      </c>
      <c r="G46" s="266">
        <v>15.6</v>
      </c>
      <c r="H46" s="266">
        <v>18.809999999999999</v>
      </c>
      <c r="I46" s="266">
        <v>2755.28</v>
      </c>
      <c r="J46" s="284">
        <v>9.3320708036765364E-3</v>
      </c>
    </row>
    <row r="47" spans="1:10" ht="26.4" x14ac:dyDescent="0.3">
      <c r="A47" s="283" t="s">
        <v>200</v>
      </c>
      <c r="B47" s="276" t="s">
        <v>449</v>
      </c>
      <c r="C47" s="276" t="s">
        <v>7</v>
      </c>
      <c r="D47" s="277" t="s">
        <v>450</v>
      </c>
      <c r="E47" s="276" t="s">
        <v>8</v>
      </c>
      <c r="F47" s="265">
        <v>15.12</v>
      </c>
      <c r="G47" s="266">
        <v>19.309999999999999</v>
      </c>
      <c r="H47" s="266">
        <v>23.28</v>
      </c>
      <c r="I47" s="266">
        <v>351.99</v>
      </c>
      <c r="J47" s="284">
        <v>1.1921821383620191E-3</v>
      </c>
    </row>
    <row r="48" spans="1:10" x14ac:dyDescent="0.3">
      <c r="A48" s="285" t="s">
        <v>201</v>
      </c>
      <c r="B48" s="256"/>
      <c r="C48" s="256"/>
      <c r="D48" s="257" t="s">
        <v>148</v>
      </c>
      <c r="E48" s="256"/>
      <c r="F48" s="260"/>
      <c r="G48" s="262"/>
      <c r="H48" s="262"/>
      <c r="I48" s="263">
        <v>70039.679999999993</v>
      </c>
      <c r="J48" s="286">
        <v>0.23722280596775916</v>
      </c>
    </row>
    <row r="49" spans="1:10" ht="39.6" x14ac:dyDescent="0.3">
      <c r="A49" s="283" t="s">
        <v>202</v>
      </c>
      <c r="B49" s="276" t="s">
        <v>451</v>
      </c>
      <c r="C49" s="276" t="s">
        <v>7</v>
      </c>
      <c r="D49" s="277" t="s">
        <v>452</v>
      </c>
      <c r="E49" s="276" t="s">
        <v>198</v>
      </c>
      <c r="F49" s="265">
        <v>1</v>
      </c>
      <c r="G49" s="266">
        <v>1440.26</v>
      </c>
      <c r="H49" s="266">
        <v>1736.95</v>
      </c>
      <c r="I49" s="266">
        <v>1736.95</v>
      </c>
      <c r="J49" s="284">
        <v>5.8830102140058219E-3</v>
      </c>
    </row>
    <row r="50" spans="1:10" ht="52.8" x14ac:dyDescent="0.3">
      <c r="A50" s="283" t="s">
        <v>203</v>
      </c>
      <c r="B50" s="276" t="s">
        <v>453</v>
      </c>
      <c r="C50" s="276" t="s">
        <v>7</v>
      </c>
      <c r="D50" s="277" t="s">
        <v>454</v>
      </c>
      <c r="E50" s="276" t="s">
        <v>198</v>
      </c>
      <c r="F50" s="265">
        <v>1</v>
      </c>
      <c r="G50" s="266">
        <v>467.97</v>
      </c>
      <c r="H50" s="266">
        <v>564.37</v>
      </c>
      <c r="I50" s="266">
        <v>564.37</v>
      </c>
      <c r="J50" s="284">
        <v>1.9115083764520945E-3</v>
      </c>
    </row>
    <row r="51" spans="1:10" ht="26.4" x14ac:dyDescent="0.3">
      <c r="A51" s="287" t="s">
        <v>204</v>
      </c>
      <c r="B51" s="258" t="s">
        <v>455</v>
      </c>
      <c r="C51" s="258" t="s">
        <v>105</v>
      </c>
      <c r="D51" s="259" t="s">
        <v>456</v>
      </c>
      <c r="E51" s="258" t="s">
        <v>198</v>
      </c>
      <c r="F51" s="261">
        <v>1</v>
      </c>
      <c r="G51" s="264">
        <v>604.74</v>
      </c>
      <c r="H51" s="264">
        <v>688.43</v>
      </c>
      <c r="I51" s="264">
        <v>688.43</v>
      </c>
      <c r="J51" s="288">
        <v>2.3316967797737576E-3</v>
      </c>
    </row>
    <row r="52" spans="1:10" ht="39.6" x14ac:dyDescent="0.3">
      <c r="A52" s="283" t="s">
        <v>205</v>
      </c>
      <c r="B52" s="276" t="s">
        <v>778</v>
      </c>
      <c r="C52" s="276" t="s">
        <v>43</v>
      </c>
      <c r="D52" s="277" t="s">
        <v>712</v>
      </c>
      <c r="E52" s="276" t="s">
        <v>216</v>
      </c>
      <c r="F52" s="265">
        <v>9</v>
      </c>
      <c r="G52" s="266">
        <v>1971.88</v>
      </c>
      <c r="H52" s="266">
        <v>2378.08</v>
      </c>
      <c r="I52" s="266">
        <v>21402.720000000001</v>
      </c>
      <c r="J52" s="284">
        <v>7.249052670917798E-2</v>
      </c>
    </row>
    <row r="53" spans="1:10" ht="39.6" x14ac:dyDescent="0.3">
      <c r="A53" s="283" t="s">
        <v>206</v>
      </c>
      <c r="B53" s="276" t="s">
        <v>779</v>
      </c>
      <c r="C53" s="276" t="s">
        <v>43</v>
      </c>
      <c r="D53" s="277" t="s">
        <v>718</v>
      </c>
      <c r="E53" s="276" t="s">
        <v>216</v>
      </c>
      <c r="F53" s="265">
        <v>9</v>
      </c>
      <c r="G53" s="266">
        <v>214.36</v>
      </c>
      <c r="H53" s="266">
        <v>258.51</v>
      </c>
      <c r="I53" s="266">
        <v>2326.59</v>
      </c>
      <c r="J53" s="284">
        <v>7.8801075067237419E-3</v>
      </c>
    </row>
    <row r="54" spans="1:10" ht="26.4" x14ac:dyDescent="0.3">
      <c r="A54" s="283" t="s">
        <v>207</v>
      </c>
      <c r="B54" s="276" t="s">
        <v>468</v>
      </c>
      <c r="C54" s="276" t="s">
        <v>7</v>
      </c>
      <c r="D54" s="277" t="s">
        <v>469</v>
      </c>
      <c r="E54" s="276" t="s">
        <v>198</v>
      </c>
      <c r="F54" s="265">
        <v>18</v>
      </c>
      <c r="G54" s="266">
        <v>902.89</v>
      </c>
      <c r="H54" s="266">
        <v>1088.8800000000001</v>
      </c>
      <c r="I54" s="266">
        <v>19599.84</v>
      </c>
      <c r="J54" s="284">
        <v>6.6384213082057553E-2</v>
      </c>
    </row>
    <row r="55" spans="1:10" x14ac:dyDescent="0.3">
      <c r="A55" s="283" t="s">
        <v>210</v>
      </c>
      <c r="B55" s="276" t="s">
        <v>780</v>
      </c>
      <c r="C55" s="276" t="s">
        <v>43</v>
      </c>
      <c r="D55" s="277" t="s">
        <v>762</v>
      </c>
      <c r="E55" s="276" t="s">
        <v>216</v>
      </c>
      <c r="F55" s="265">
        <v>1</v>
      </c>
      <c r="G55" s="266">
        <v>29.29</v>
      </c>
      <c r="H55" s="266">
        <v>35.32</v>
      </c>
      <c r="I55" s="266">
        <v>35.32</v>
      </c>
      <c r="J55" s="284">
        <v>1.1962803808899832E-4</v>
      </c>
    </row>
    <row r="56" spans="1:10" ht="26.4" x14ac:dyDescent="0.3">
      <c r="A56" s="283" t="s">
        <v>213</v>
      </c>
      <c r="B56" s="276" t="s">
        <v>461</v>
      </c>
      <c r="C56" s="276" t="s">
        <v>43</v>
      </c>
      <c r="D56" s="277" t="s">
        <v>462</v>
      </c>
      <c r="E56" s="276" t="s">
        <v>216</v>
      </c>
      <c r="F56" s="265">
        <v>2</v>
      </c>
      <c r="G56" s="266">
        <v>2666.77</v>
      </c>
      <c r="H56" s="266">
        <v>3216.12</v>
      </c>
      <c r="I56" s="266">
        <v>6432.24</v>
      </c>
      <c r="J56" s="284">
        <v>2.1785850841381047E-2</v>
      </c>
    </row>
    <row r="57" spans="1:10" ht="26.4" x14ac:dyDescent="0.3">
      <c r="A57" s="283" t="s">
        <v>214</v>
      </c>
      <c r="B57" s="276" t="s">
        <v>463</v>
      </c>
      <c r="C57" s="276" t="s">
        <v>43</v>
      </c>
      <c r="D57" s="277" t="s">
        <v>464</v>
      </c>
      <c r="E57" s="276" t="s">
        <v>216</v>
      </c>
      <c r="F57" s="265">
        <v>11</v>
      </c>
      <c r="G57" s="266">
        <v>95.91</v>
      </c>
      <c r="H57" s="266">
        <v>115.66</v>
      </c>
      <c r="I57" s="266">
        <v>1272.26</v>
      </c>
      <c r="J57" s="284">
        <v>4.3091157344028594E-3</v>
      </c>
    </row>
    <row r="58" spans="1:10" ht="26.4" x14ac:dyDescent="0.3">
      <c r="A58" s="283" t="s">
        <v>215</v>
      </c>
      <c r="B58" s="276" t="s">
        <v>781</v>
      </c>
      <c r="C58" s="276" t="s">
        <v>7</v>
      </c>
      <c r="D58" s="277" t="s">
        <v>782</v>
      </c>
      <c r="E58" s="276" t="s">
        <v>198</v>
      </c>
      <c r="F58" s="265">
        <v>2</v>
      </c>
      <c r="G58" s="266">
        <v>15.82</v>
      </c>
      <c r="H58" s="266">
        <v>19.07</v>
      </c>
      <c r="I58" s="266">
        <v>38.14</v>
      </c>
      <c r="J58" s="284">
        <v>1.291793140632615E-4</v>
      </c>
    </row>
    <row r="59" spans="1:10" ht="26.4" x14ac:dyDescent="0.3">
      <c r="A59" s="283" t="s">
        <v>465</v>
      </c>
      <c r="B59" s="276" t="s">
        <v>459</v>
      </c>
      <c r="C59" s="276" t="s">
        <v>7</v>
      </c>
      <c r="D59" s="277" t="s">
        <v>460</v>
      </c>
      <c r="E59" s="276" t="s">
        <v>198</v>
      </c>
      <c r="F59" s="265">
        <v>1</v>
      </c>
      <c r="G59" s="266">
        <v>14.06</v>
      </c>
      <c r="H59" s="266">
        <v>16.95</v>
      </c>
      <c r="I59" s="266">
        <v>16.95</v>
      </c>
      <c r="J59" s="284">
        <v>5.7409265164454174E-5</v>
      </c>
    </row>
    <row r="60" spans="1:10" ht="39.6" x14ac:dyDescent="0.3">
      <c r="A60" s="283" t="s">
        <v>466</v>
      </c>
      <c r="B60" s="276" t="s">
        <v>457</v>
      </c>
      <c r="C60" s="276" t="s">
        <v>7</v>
      </c>
      <c r="D60" s="277" t="s">
        <v>458</v>
      </c>
      <c r="E60" s="276" t="s">
        <v>198</v>
      </c>
      <c r="F60" s="265">
        <v>1</v>
      </c>
      <c r="G60" s="266">
        <v>96.24</v>
      </c>
      <c r="H60" s="266">
        <v>116.06</v>
      </c>
      <c r="I60" s="266">
        <v>116.06</v>
      </c>
      <c r="J60" s="284">
        <v>3.9309258495495882E-4</v>
      </c>
    </row>
    <row r="61" spans="1:10" ht="39.6" x14ac:dyDescent="0.3">
      <c r="A61" s="283" t="s">
        <v>467</v>
      </c>
      <c r="B61" s="276" t="s">
        <v>208</v>
      </c>
      <c r="C61" s="276" t="s">
        <v>7</v>
      </c>
      <c r="D61" s="277" t="s">
        <v>209</v>
      </c>
      <c r="E61" s="276" t="s">
        <v>97</v>
      </c>
      <c r="F61" s="265">
        <v>30</v>
      </c>
      <c r="G61" s="266">
        <v>18.579999999999998</v>
      </c>
      <c r="H61" s="266">
        <v>22.4</v>
      </c>
      <c r="I61" s="266">
        <v>672</v>
      </c>
      <c r="J61" s="284">
        <v>2.276048742803139E-3</v>
      </c>
    </row>
    <row r="62" spans="1:10" ht="39.6" x14ac:dyDescent="0.3">
      <c r="A62" s="283" t="s">
        <v>783</v>
      </c>
      <c r="B62" s="276" t="s">
        <v>784</v>
      </c>
      <c r="C62" s="276" t="s">
        <v>7</v>
      </c>
      <c r="D62" s="277" t="s">
        <v>785</v>
      </c>
      <c r="E62" s="276" t="s">
        <v>97</v>
      </c>
      <c r="F62" s="265">
        <v>80</v>
      </c>
      <c r="G62" s="266">
        <v>17.510000000000002</v>
      </c>
      <c r="H62" s="266">
        <v>21.11</v>
      </c>
      <c r="I62" s="266">
        <v>1688.8</v>
      </c>
      <c r="J62" s="284">
        <v>5.7199272572112216E-3</v>
      </c>
    </row>
    <row r="63" spans="1:10" ht="39.6" x14ac:dyDescent="0.3">
      <c r="A63" s="283" t="s">
        <v>786</v>
      </c>
      <c r="B63" s="276" t="s">
        <v>787</v>
      </c>
      <c r="C63" s="276" t="s">
        <v>7</v>
      </c>
      <c r="D63" s="277" t="s">
        <v>788</v>
      </c>
      <c r="E63" s="276" t="s">
        <v>97</v>
      </c>
      <c r="F63" s="265">
        <v>30</v>
      </c>
      <c r="G63" s="266">
        <v>13.52</v>
      </c>
      <c r="H63" s="266">
        <v>16.3</v>
      </c>
      <c r="I63" s="266">
        <v>489</v>
      </c>
      <c r="J63" s="284">
        <v>1.6562318976647841E-3</v>
      </c>
    </row>
    <row r="64" spans="1:10" ht="39.6" x14ac:dyDescent="0.3">
      <c r="A64" s="283" t="s">
        <v>789</v>
      </c>
      <c r="B64" s="276" t="s">
        <v>790</v>
      </c>
      <c r="C64" s="276" t="s">
        <v>7</v>
      </c>
      <c r="D64" s="277" t="s">
        <v>791</v>
      </c>
      <c r="E64" s="276" t="s">
        <v>198</v>
      </c>
      <c r="F64" s="265">
        <v>11</v>
      </c>
      <c r="G64" s="266">
        <v>17.22</v>
      </c>
      <c r="H64" s="266">
        <v>20.76</v>
      </c>
      <c r="I64" s="266">
        <v>228.36</v>
      </c>
      <c r="J64" s="284">
        <v>7.7345013527756667E-4</v>
      </c>
    </row>
    <row r="65" spans="1:10" ht="39.6" x14ac:dyDescent="0.3">
      <c r="A65" s="283" t="s">
        <v>792</v>
      </c>
      <c r="B65" s="276" t="s">
        <v>793</v>
      </c>
      <c r="C65" s="276" t="s">
        <v>7</v>
      </c>
      <c r="D65" s="277" t="s">
        <v>794</v>
      </c>
      <c r="E65" s="276" t="s">
        <v>198</v>
      </c>
      <c r="F65" s="265">
        <v>7</v>
      </c>
      <c r="G65" s="266">
        <v>20.66</v>
      </c>
      <c r="H65" s="266">
        <v>24.91</v>
      </c>
      <c r="I65" s="266">
        <v>174.37</v>
      </c>
      <c r="J65" s="284">
        <v>5.905872310752728E-4</v>
      </c>
    </row>
    <row r="66" spans="1:10" ht="52.8" x14ac:dyDescent="0.3">
      <c r="A66" s="283" t="s">
        <v>795</v>
      </c>
      <c r="B66" s="276" t="s">
        <v>796</v>
      </c>
      <c r="C66" s="276" t="s">
        <v>7</v>
      </c>
      <c r="D66" s="277" t="s">
        <v>797</v>
      </c>
      <c r="E66" s="276" t="s">
        <v>198</v>
      </c>
      <c r="F66" s="265">
        <v>4</v>
      </c>
      <c r="G66" s="266">
        <v>23.13</v>
      </c>
      <c r="H66" s="266">
        <v>27.89</v>
      </c>
      <c r="I66" s="266">
        <v>111.56</v>
      </c>
      <c r="J66" s="284">
        <v>3.7785118712368776E-4</v>
      </c>
    </row>
    <row r="67" spans="1:10" ht="39.6" x14ac:dyDescent="0.3">
      <c r="A67" s="283" t="s">
        <v>798</v>
      </c>
      <c r="B67" s="276" t="s">
        <v>211</v>
      </c>
      <c r="C67" s="276" t="s">
        <v>7</v>
      </c>
      <c r="D67" s="277" t="s">
        <v>212</v>
      </c>
      <c r="E67" s="276" t="s">
        <v>198</v>
      </c>
      <c r="F67" s="265">
        <v>17</v>
      </c>
      <c r="G67" s="266">
        <v>150.99</v>
      </c>
      <c r="H67" s="266">
        <v>182.09</v>
      </c>
      <c r="I67" s="266">
        <v>3095.53</v>
      </c>
      <c r="J67" s="284">
        <v>1.0484489828585417E-2</v>
      </c>
    </row>
    <row r="68" spans="1:10" ht="52.8" x14ac:dyDescent="0.3">
      <c r="A68" s="283" t="s">
        <v>799</v>
      </c>
      <c r="B68" s="276" t="s">
        <v>800</v>
      </c>
      <c r="C68" s="276" t="s">
        <v>169</v>
      </c>
      <c r="D68" s="277" t="s">
        <v>744</v>
      </c>
      <c r="E68" s="276" t="s">
        <v>97</v>
      </c>
      <c r="F68" s="265">
        <v>10</v>
      </c>
      <c r="G68" s="266">
        <v>63.99</v>
      </c>
      <c r="H68" s="266">
        <v>77.17</v>
      </c>
      <c r="I68" s="266">
        <v>771.7</v>
      </c>
      <c r="J68" s="284">
        <v>2.6137303791981879E-3</v>
      </c>
    </row>
    <row r="69" spans="1:10" ht="52.8" x14ac:dyDescent="0.3">
      <c r="A69" s="283" t="s">
        <v>801</v>
      </c>
      <c r="B69" s="276" t="s">
        <v>802</v>
      </c>
      <c r="C69" s="276" t="s">
        <v>169</v>
      </c>
      <c r="D69" s="277" t="s">
        <v>749</v>
      </c>
      <c r="E69" s="276" t="s">
        <v>97</v>
      </c>
      <c r="F69" s="265">
        <v>90</v>
      </c>
      <c r="G69" s="266">
        <v>40.43</v>
      </c>
      <c r="H69" s="266">
        <v>48.75</v>
      </c>
      <c r="I69" s="266">
        <v>4387.5</v>
      </c>
      <c r="J69" s="284">
        <v>1.4860362885489245E-2</v>
      </c>
    </row>
    <row r="70" spans="1:10" ht="52.8" x14ac:dyDescent="0.3">
      <c r="A70" s="283" t="s">
        <v>803</v>
      </c>
      <c r="B70" s="276" t="s">
        <v>804</v>
      </c>
      <c r="C70" s="276" t="s">
        <v>169</v>
      </c>
      <c r="D70" s="277" t="s">
        <v>752</v>
      </c>
      <c r="E70" s="276" t="s">
        <v>97</v>
      </c>
      <c r="F70" s="265">
        <v>32</v>
      </c>
      <c r="G70" s="266">
        <v>25.3</v>
      </c>
      <c r="H70" s="266">
        <v>30.51</v>
      </c>
      <c r="I70" s="266">
        <v>976.32</v>
      </c>
      <c r="J70" s="284">
        <v>3.3067736734725605E-3</v>
      </c>
    </row>
    <row r="71" spans="1:10" ht="52.8" x14ac:dyDescent="0.3">
      <c r="A71" s="283" t="s">
        <v>805</v>
      </c>
      <c r="B71" s="276" t="s">
        <v>806</v>
      </c>
      <c r="C71" s="276" t="s">
        <v>169</v>
      </c>
      <c r="D71" s="277" t="s">
        <v>755</v>
      </c>
      <c r="E71" s="276" t="s">
        <v>97</v>
      </c>
      <c r="F71" s="265">
        <v>20</v>
      </c>
      <c r="G71" s="266">
        <v>16.829999999999998</v>
      </c>
      <c r="H71" s="266">
        <v>20.29</v>
      </c>
      <c r="I71" s="266">
        <v>405.8</v>
      </c>
      <c r="J71" s="284">
        <v>1.3744353866510621E-3</v>
      </c>
    </row>
    <row r="72" spans="1:10" ht="52.8" x14ac:dyDescent="0.3">
      <c r="A72" s="283" t="s">
        <v>807</v>
      </c>
      <c r="B72" s="276" t="s">
        <v>808</v>
      </c>
      <c r="C72" s="276" t="s">
        <v>169</v>
      </c>
      <c r="D72" s="277" t="s">
        <v>758</v>
      </c>
      <c r="E72" s="276" t="s">
        <v>97</v>
      </c>
      <c r="F72" s="265">
        <v>90</v>
      </c>
      <c r="G72" s="266">
        <v>11.14</v>
      </c>
      <c r="H72" s="266">
        <v>13.43</v>
      </c>
      <c r="I72" s="266">
        <v>1208.7</v>
      </c>
      <c r="J72" s="284">
        <v>4.0938394574793957E-3</v>
      </c>
    </row>
    <row r="73" spans="1:10" ht="26.4" x14ac:dyDescent="0.3">
      <c r="A73" s="283" t="s">
        <v>809</v>
      </c>
      <c r="B73" s="276" t="s">
        <v>810</v>
      </c>
      <c r="C73" s="276" t="s">
        <v>7</v>
      </c>
      <c r="D73" s="277" t="s">
        <v>811</v>
      </c>
      <c r="E73" s="276" t="s">
        <v>198</v>
      </c>
      <c r="F73" s="265">
        <v>13</v>
      </c>
      <c r="G73" s="266">
        <v>102.07</v>
      </c>
      <c r="H73" s="266">
        <v>123.09</v>
      </c>
      <c r="I73" s="266">
        <v>1600.17</v>
      </c>
      <c r="J73" s="284">
        <v>5.4197394594810997E-3</v>
      </c>
    </row>
    <row r="74" spans="1:10" x14ac:dyDescent="0.3">
      <c r="A74" s="285" t="s">
        <v>217</v>
      </c>
      <c r="B74" s="256"/>
      <c r="C74" s="256"/>
      <c r="D74" s="257" t="s">
        <v>33</v>
      </c>
      <c r="E74" s="256"/>
      <c r="F74" s="260"/>
      <c r="G74" s="262"/>
      <c r="H74" s="262"/>
      <c r="I74" s="263">
        <v>50126.6</v>
      </c>
      <c r="J74" s="286">
        <v>0.1697776561175533</v>
      </c>
    </row>
    <row r="75" spans="1:10" ht="39.6" x14ac:dyDescent="0.3">
      <c r="A75" s="283" t="s">
        <v>218</v>
      </c>
      <c r="B75" s="276" t="s">
        <v>470</v>
      </c>
      <c r="C75" s="276" t="s">
        <v>43</v>
      </c>
      <c r="D75" s="277" t="s">
        <v>471</v>
      </c>
      <c r="E75" s="276" t="s">
        <v>17</v>
      </c>
      <c r="F75" s="265">
        <v>9.6</v>
      </c>
      <c r="G75" s="266">
        <v>740.49</v>
      </c>
      <c r="H75" s="266">
        <v>893.03</v>
      </c>
      <c r="I75" s="266">
        <v>8573.08</v>
      </c>
      <c r="J75" s="284">
        <v>2.9036827315402879E-2</v>
      </c>
    </row>
    <row r="76" spans="1:10" ht="26.4" x14ac:dyDescent="0.3">
      <c r="A76" s="283" t="s">
        <v>220</v>
      </c>
      <c r="B76" s="276" t="s">
        <v>230</v>
      </c>
      <c r="C76" s="276" t="s">
        <v>7</v>
      </c>
      <c r="D76" s="277" t="s">
        <v>231</v>
      </c>
      <c r="E76" s="276" t="s">
        <v>198</v>
      </c>
      <c r="F76" s="265">
        <v>40</v>
      </c>
      <c r="G76" s="266">
        <v>114.65</v>
      </c>
      <c r="H76" s="266">
        <v>138.26</v>
      </c>
      <c r="I76" s="266">
        <v>5530.4</v>
      </c>
      <c r="J76" s="284">
        <v>1.8731339236902501E-2</v>
      </c>
    </row>
    <row r="77" spans="1:10" x14ac:dyDescent="0.3">
      <c r="A77" s="283" t="s">
        <v>472</v>
      </c>
      <c r="B77" s="276" t="s">
        <v>228</v>
      </c>
      <c r="C77" s="276" t="s">
        <v>7</v>
      </c>
      <c r="D77" s="277" t="s">
        <v>229</v>
      </c>
      <c r="E77" s="276" t="s">
        <v>8</v>
      </c>
      <c r="F77" s="265">
        <v>75.13</v>
      </c>
      <c r="G77" s="266">
        <v>118</v>
      </c>
      <c r="H77" s="266">
        <v>142.30000000000001</v>
      </c>
      <c r="I77" s="266">
        <v>10690.99</v>
      </c>
      <c r="J77" s="284">
        <v>3.6210140400031149E-2</v>
      </c>
    </row>
    <row r="78" spans="1:10" ht="39.6" x14ac:dyDescent="0.3">
      <c r="A78" s="287" t="s">
        <v>473</v>
      </c>
      <c r="B78" s="258" t="s">
        <v>474</v>
      </c>
      <c r="C78" s="258" t="s">
        <v>169</v>
      </c>
      <c r="D78" s="259" t="s">
        <v>390</v>
      </c>
      <c r="E78" s="258" t="s">
        <v>36</v>
      </c>
      <c r="F78" s="261">
        <v>1</v>
      </c>
      <c r="G78" s="264">
        <v>16966.3</v>
      </c>
      <c r="H78" s="264">
        <v>19314.43</v>
      </c>
      <c r="I78" s="264">
        <v>19314.43</v>
      </c>
      <c r="J78" s="288">
        <v>6.5417535892052431E-2</v>
      </c>
    </row>
    <row r="79" spans="1:10" ht="27" thickBot="1" x14ac:dyDescent="0.35">
      <c r="A79" s="289" t="s">
        <v>475</v>
      </c>
      <c r="B79" s="271" t="s">
        <v>476</v>
      </c>
      <c r="C79" s="271" t="s">
        <v>169</v>
      </c>
      <c r="D79" s="272" t="s">
        <v>393</v>
      </c>
      <c r="E79" s="271" t="s">
        <v>36</v>
      </c>
      <c r="F79" s="290">
        <v>30</v>
      </c>
      <c r="G79" s="291">
        <v>176.21</v>
      </c>
      <c r="H79" s="291">
        <v>200.59</v>
      </c>
      <c r="I79" s="291">
        <v>6017.7</v>
      </c>
      <c r="J79" s="292">
        <v>2.0381813273164358E-2</v>
      </c>
    </row>
    <row r="81" spans="1:13" ht="15.6" x14ac:dyDescent="0.3">
      <c r="A81" s="294"/>
      <c r="B81" s="295"/>
      <c r="C81" s="295"/>
      <c r="D81" s="296"/>
      <c r="E81" s="296"/>
      <c r="F81" s="296"/>
      <c r="G81" s="296"/>
      <c r="H81" s="297" t="s">
        <v>232</v>
      </c>
      <c r="I81" s="299">
        <v>295248.51</v>
      </c>
      <c r="J81" s="298"/>
      <c r="L81" s="293"/>
      <c r="M81" s="293"/>
    </row>
    <row r="83" spans="1:13" ht="15.6" x14ac:dyDescent="0.3">
      <c r="A83" s="419"/>
      <c r="B83" s="377" t="s">
        <v>1021</v>
      </c>
      <c r="C83" s="377"/>
      <c r="D83" s="377"/>
      <c r="E83" s="377"/>
      <c r="F83" s="377"/>
      <c r="G83" s="377"/>
      <c r="H83" s="377"/>
      <c r="I83" s="377"/>
      <c r="J83" s="420"/>
    </row>
    <row r="85" spans="1:13" x14ac:dyDescent="0.3">
      <c r="C85" s="416" t="s">
        <v>1018</v>
      </c>
      <c r="D85" s="38"/>
      <c r="F85" s="38"/>
    </row>
    <row r="86" spans="1:13" x14ac:dyDescent="0.3">
      <c r="C86" s="417" t="s">
        <v>1019</v>
      </c>
      <c r="D86" s="417"/>
      <c r="E86" s="417"/>
      <c r="F86" s="417"/>
      <c r="G86" s="417"/>
      <c r="I86" s="261"/>
    </row>
    <row r="87" spans="1:13" ht="36.6" customHeight="1" x14ac:dyDescent="0.3">
      <c r="C87" s="418" t="s">
        <v>1020</v>
      </c>
      <c r="D87" s="418"/>
      <c r="E87" s="418"/>
      <c r="F87" s="418"/>
      <c r="G87" s="418"/>
      <c r="H87" s="418"/>
      <c r="I87" s="418"/>
    </row>
  </sheetData>
  <mergeCells count="4">
    <mergeCell ref="A2:J2"/>
    <mergeCell ref="C86:G86"/>
    <mergeCell ref="C87:I87"/>
    <mergeCell ref="B83:I83"/>
  </mergeCells>
  <printOptions horizontalCentered="1"/>
  <pageMargins left="0.51181102362204722" right="0.51181102362204722" top="0.9055118110236221" bottom="0.78740157480314965" header="0.19685039370078741" footer="0.19685039370078741"/>
  <pageSetup paperSize="9" scale="85" orientation="landscape" horizontalDpi="0" verticalDpi="0" r:id="rId1"/>
  <headerFooter>
    <oddHeader>&amp;L&amp;G&amp;R&amp;G</oddHeader>
    <oddFooter>&amp;RPágina &amp;P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61388-AC3F-4201-BA9A-4363E5D4E19B}">
  <dimension ref="A1:J83"/>
  <sheetViews>
    <sheetView workbookViewId="0">
      <selection activeCell="I13" sqref="I13"/>
    </sheetView>
  </sheetViews>
  <sheetFormatPr defaultRowHeight="14.4" x14ac:dyDescent="0.3"/>
  <cols>
    <col min="1" max="1" width="6.88671875" style="49" customWidth="1"/>
    <col min="2" max="2" width="74.88671875" style="49" customWidth="1"/>
    <col min="3" max="3" width="16.5546875" style="49" customWidth="1"/>
    <col min="4" max="30" width="13.33203125" style="49" bestFit="1" customWidth="1"/>
    <col min="31" max="16384" width="8.88671875" style="49"/>
  </cols>
  <sheetData>
    <row r="1" spans="1:10" x14ac:dyDescent="0.3">
      <c r="A1" s="38"/>
      <c r="B1" s="38"/>
      <c r="C1" s="38"/>
    </row>
    <row r="2" spans="1:10" ht="17.399999999999999" x14ac:dyDescent="0.3">
      <c r="A2" s="412" t="s">
        <v>708</v>
      </c>
      <c r="B2" s="412"/>
      <c r="C2" s="412"/>
      <c r="D2" s="412"/>
      <c r="E2" s="412"/>
      <c r="F2" s="412"/>
      <c r="G2" s="412"/>
      <c r="H2" s="21"/>
      <c r="I2" s="21"/>
      <c r="J2" s="21"/>
    </row>
    <row r="3" spans="1:10" x14ac:dyDescent="0.3">
      <c r="A3" s="215"/>
      <c r="B3" s="215"/>
      <c r="C3" s="215"/>
      <c r="D3" s="215"/>
      <c r="E3" s="216"/>
      <c r="F3" s="216"/>
      <c r="G3" s="216"/>
      <c r="H3" s="116"/>
    </row>
    <row r="4" spans="1:10" x14ac:dyDescent="0.3">
      <c r="A4" s="217" t="s">
        <v>693</v>
      </c>
      <c r="B4" s="218"/>
      <c r="C4" s="219"/>
      <c r="D4" s="220" t="s">
        <v>685</v>
      </c>
      <c r="F4" s="221"/>
      <c r="G4" s="221"/>
      <c r="H4" s="222"/>
    </row>
    <row r="5" spans="1:10" x14ac:dyDescent="0.3">
      <c r="A5" s="217" t="s">
        <v>686</v>
      </c>
      <c r="B5" s="218"/>
      <c r="C5" s="218"/>
      <c r="D5" s="220" t="s">
        <v>687</v>
      </c>
      <c r="F5" s="224"/>
      <c r="G5" s="224"/>
      <c r="H5" s="222"/>
    </row>
    <row r="6" spans="1:10" x14ac:dyDescent="0.3">
      <c r="A6" s="217" t="s">
        <v>694</v>
      </c>
      <c r="B6" s="218"/>
      <c r="C6" s="219"/>
      <c r="D6" s="220" t="s">
        <v>688</v>
      </c>
      <c r="F6" s="224"/>
      <c r="G6" s="216"/>
      <c r="H6" s="222"/>
    </row>
    <row r="7" spans="1:10" x14ac:dyDescent="0.3">
      <c r="A7" s="217" t="s">
        <v>690</v>
      </c>
      <c r="B7" s="218"/>
      <c r="C7" s="219"/>
      <c r="D7" s="220" t="s">
        <v>689</v>
      </c>
      <c r="F7" s="224"/>
      <c r="G7" s="216"/>
      <c r="H7" s="222"/>
    </row>
    <row r="8" spans="1:10" x14ac:dyDescent="0.3">
      <c r="A8" s="225" t="s">
        <v>691</v>
      </c>
      <c r="B8" s="218"/>
      <c r="C8" s="219"/>
      <c r="D8" s="223"/>
      <c r="E8" s="225"/>
      <c r="F8" s="224"/>
      <c r="G8" s="226"/>
      <c r="H8" s="222"/>
    </row>
    <row r="9" spans="1:10" ht="15" thickBot="1" x14ac:dyDescent="0.35"/>
    <row r="10" spans="1:10" ht="15" thickBot="1" x14ac:dyDescent="0.35">
      <c r="A10" s="300" t="s">
        <v>157</v>
      </c>
      <c r="B10" s="301" t="s">
        <v>160</v>
      </c>
      <c r="C10" s="300" t="s">
        <v>602</v>
      </c>
      <c r="D10" s="300" t="s">
        <v>603</v>
      </c>
      <c r="E10" s="300" t="s">
        <v>604</v>
      </c>
      <c r="F10" s="300" t="s">
        <v>605</v>
      </c>
      <c r="G10" s="300" t="s">
        <v>606</v>
      </c>
    </row>
    <row r="11" spans="1:10" ht="27" thickBot="1" x14ac:dyDescent="0.35">
      <c r="A11" s="278" t="s">
        <v>167</v>
      </c>
      <c r="B11" s="270" t="s">
        <v>171</v>
      </c>
      <c r="C11" s="269" t="s">
        <v>607</v>
      </c>
      <c r="D11" s="308" t="s">
        <v>607</v>
      </c>
      <c r="E11" s="269" t="s">
        <v>145</v>
      </c>
      <c r="F11" s="269" t="s">
        <v>145</v>
      </c>
      <c r="G11" s="309" t="s">
        <v>145</v>
      </c>
    </row>
    <row r="12" spans="1:10" ht="40.799999999999997" thickTop="1" thickBot="1" x14ac:dyDescent="0.35">
      <c r="A12" s="283" t="s">
        <v>168</v>
      </c>
      <c r="B12" s="277" t="s">
        <v>398</v>
      </c>
      <c r="C12" s="276" t="s">
        <v>608</v>
      </c>
      <c r="D12" s="304" t="s">
        <v>608</v>
      </c>
      <c r="E12" s="276" t="s">
        <v>145</v>
      </c>
      <c r="F12" s="276" t="s">
        <v>145</v>
      </c>
      <c r="G12" s="310" t="s">
        <v>145</v>
      </c>
    </row>
    <row r="13" spans="1:10" ht="40.799999999999997" thickTop="1" thickBot="1" x14ac:dyDescent="0.35">
      <c r="A13" s="283" t="s">
        <v>399</v>
      </c>
      <c r="B13" s="277" t="s">
        <v>401</v>
      </c>
      <c r="C13" s="276" t="s">
        <v>609</v>
      </c>
      <c r="D13" s="304" t="s">
        <v>609</v>
      </c>
      <c r="E13" s="276" t="s">
        <v>145</v>
      </c>
      <c r="F13" s="276" t="s">
        <v>145</v>
      </c>
      <c r="G13" s="310" t="s">
        <v>145</v>
      </c>
    </row>
    <row r="14" spans="1:10" ht="27.6" thickTop="1" thickBot="1" x14ac:dyDescent="0.35">
      <c r="A14" s="283" t="s">
        <v>402</v>
      </c>
      <c r="B14" s="277" t="s">
        <v>177</v>
      </c>
      <c r="C14" s="276" t="s">
        <v>610</v>
      </c>
      <c r="D14" s="304" t="s">
        <v>610</v>
      </c>
      <c r="E14" s="276" t="s">
        <v>145</v>
      </c>
      <c r="F14" s="276" t="s">
        <v>145</v>
      </c>
      <c r="G14" s="310" t="s">
        <v>145</v>
      </c>
    </row>
    <row r="15" spans="1:10" ht="27.6" thickTop="1" thickBot="1" x14ac:dyDescent="0.35">
      <c r="A15" s="283" t="s">
        <v>403</v>
      </c>
      <c r="B15" s="277" t="s">
        <v>179</v>
      </c>
      <c r="C15" s="276" t="s">
        <v>611</v>
      </c>
      <c r="D15" s="304" t="s">
        <v>611</v>
      </c>
      <c r="E15" s="276" t="s">
        <v>145</v>
      </c>
      <c r="F15" s="276" t="s">
        <v>145</v>
      </c>
      <c r="G15" s="310" t="s">
        <v>145</v>
      </c>
    </row>
    <row r="16" spans="1:10" ht="27.6" thickTop="1" thickBot="1" x14ac:dyDescent="0.35">
      <c r="A16" s="283" t="s">
        <v>405</v>
      </c>
      <c r="B16" s="277" t="s">
        <v>182</v>
      </c>
      <c r="C16" s="276" t="s">
        <v>612</v>
      </c>
      <c r="D16" s="304" t="s">
        <v>612</v>
      </c>
      <c r="E16" s="276" t="s">
        <v>145</v>
      </c>
      <c r="F16" s="276" t="s">
        <v>145</v>
      </c>
      <c r="G16" s="310" t="s">
        <v>145</v>
      </c>
    </row>
    <row r="17" spans="1:7" ht="27.6" thickTop="1" thickBot="1" x14ac:dyDescent="0.35">
      <c r="A17" s="285" t="s">
        <v>170</v>
      </c>
      <c r="B17" s="257" t="s">
        <v>268</v>
      </c>
      <c r="C17" s="256" t="s">
        <v>613</v>
      </c>
      <c r="D17" s="302" t="s">
        <v>614</v>
      </c>
      <c r="E17" s="302" t="s">
        <v>615</v>
      </c>
      <c r="F17" s="302" t="s">
        <v>616</v>
      </c>
      <c r="G17" s="311" t="s">
        <v>145</v>
      </c>
    </row>
    <row r="18" spans="1:7" ht="27.6" thickTop="1" thickBot="1" x14ac:dyDescent="0.35">
      <c r="A18" s="283" t="s">
        <v>172</v>
      </c>
      <c r="B18" s="277" t="s">
        <v>130</v>
      </c>
      <c r="C18" s="276" t="s">
        <v>617</v>
      </c>
      <c r="D18" s="304" t="s">
        <v>617</v>
      </c>
      <c r="E18" s="276" t="s">
        <v>145</v>
      </c>
      <c r="F18" s="276" t="s">
        <v>145</v>
      </c>
      <c r="G18" s="310" t="s">
        <v>145</v>
      </c>
    </row>
    <row r="19" spans="1:7" ht="27.6" thickTop="1" thickBot="1" x14ac:dyDescent="0.35">
      <c r="A19" s="283" t="s">
        <v>173</v>
      </c>
      <c r="B19" s="277" t="s">
        <v>407</v>
      </c>
      <c r="C19" s="276" t="s">
        <v>618</v>
      </c>
      <c r="D19" s="304" t="s">
        <v>618</v>
      </c>
      <c r="E19" s="276" t="s">
        <v>145</v>
      </c>
      <c r="F19" s="276" t="s">
        <v>145</v>
      </c>
      <c r="G19" s="310" t="s">
        <v>145</v>
      </c>
    </row>
    <row r="20" spans="1:7" ht="27.6" thickTop="1" thickBot="1" x14ac:dyDescent="0.35">
      <c r="A20" s="283" t="s">
        <v>174</v>
      </c>
      <c r="B20" s="277" t="s">
        <v>190</v>
      </c>
      <c r="C20" s="276" t="s">
        <v>619</v>
      </c>
      <c r="D20" s="276" t="s">
        <v>145</v>
      </c>
      <c r="E20" s="304" t="s">
        <v>619</v>
      </c>
      <c r="F20" s="276" t="s">
        <v>145</v>
      </c>
      <c r="G20" s="310" t="s">
        <v>145</v>
      </c>
    </row>
    <row r="21" spans="1:7" ht="27.6" thickTop="1" thickBot="1" x14ac:dyDescent="0.35">
      <c r="A21" s="283" t="s">
        <v>175</v>
      </c>
      <c r="B21" s="277" t="s">
        <v>409</v>
      </c>
      <c r="C21" s="276" t="s">
        <v>620</v>
      </c>
      <c r="D21" s="276" t="s">
        <v>145</v>
      </c>
      <c r="E21" s="304" t="s">
        <v>621</v>
      </c>
      <c r="F21" s="304" t="s">
        <v>621</v>
      </c>
      <c r="G21" s="310" t="s">
        <v>145</v>
      </c>
    </row>
    <row r="22" spans="1:7" ht="27.6" thickTop="1" thickBot="1" x14ac:dyDescent="0.35">
      <c r="A22" s="283" t="s">
        <v>178</v>
      </c>
      <c r="B22" s="277" t="s">
        <v>187</v>
      </c>
      <c r="C22" s="276" t="s">
        <v>622</v>
      </c>
      <c r="D22" s="276" t="s">
        <v>145</v>
      </c>
      <c r="E22" s="304" t="s">
        <v>622</v>
      </c>
      <c r="F22" s="276" t="s">
        <v>145</v>
      </c>
      <c r="G22" s="310" t="s">
        <v>145</v>
      </c>
    </row>
    <row r="23" spans="1:7" ht="40.799999999999997" thickTop="1" thickBot="1" x14ac:dyDescent="0.35">
      <c r="A23" s="283" t="s">
        <v>180</v>
      </c>
      <c r="B23" s="277" t="s">
        <v>131</v>
      </c>
      <c r="C23" s="276" t="s">
        <v>623</v>
      </c>
      <c r="D23" s="276" t="s">
        <v>145</v>
      </c>
      <c r="E23" s="304" t="s">
        <v>623</v>
      </c>
      <c r="F23" s="276" t="s">
        <v>145</v>
      </c>
      <c r="G23" s="310" t="s">
        <v>145</v>
      </c>
    </row>
    <row r="24" spans="1:7" ht="40.799999999999997" thickTop="1" thickBot="1" x14ac:dyDescent="0.35">
      <c r="A24" s="283" t="s">
        <v>410</v>
      </c>
      <c r="B24" s="277" t="s">
        <v>412</v>
      </c>
      <c r="C24" s="276" t="s">
        <v>624</v>
      </c>
      <c r="D24" s="276" t="s">
        <v>145</v>
      </c>
      <c r="E24" s="304" t="s">
        <v>624</v>
      </c>
      <c r="F24" s="276" t="s">
        <v>145</v>
      </c>
      <c r="G24" s="310" t="s">
        <v>145</v>
      </c>
    </row>
    <row r="25" spans="1:7" ht="40.799999999999997" thickTop="1" thickBot="1" x14ac:dyDescent="0.35">
      <c r="A25" s="283" t="s">
        <v>413</v>
      </c>
      <c r="B25" s="277" t="s">
        <v>415</v>
      </c>
      <c r="C25" s="276" t="s">
        <v>625</v>
      </c>
      <c r="D25" s="276" t="s">
        <v>145</v>
      </c>
      <c r="E25" s="304" t="s">
        <v>625</v>
      </c>
      <c r="F25" s="276" t="s">
        <v>145</v>
      </c>
      <c r="G25" s="310" t="s">
        <v>145</v>
      </c>
    </row>
    <row r="26" spans="1:7" ht="40.799999999999997" thickTop="1" thickBot="1" x14ac:dyDescent="0.35">
      <c r="A26" s="283" t="s">
        <v>416</v>
      </c>
      <c r="B26" s="277" t="s">
        <v>418</v>
      </c>
      <c r="C26" s="276" t="s">
        <v>626</v>
      </c>
      <c r="D26" s="276" t="s">
        <v>145</v>
      </c>
      <c r="E26" s="304" t="s">
        <v>626</v>
      </c>
      <c r="F26" s="276" t="s">
        <v>145</v>
      </c>
      <c r="G26" s="310" t="s">
        <v>145</v>
      </c>
    </row>
    <row r="27" spans="1:7" ht="27.6" thickTop="1" thickBot="1" x14ac:dyDescent="0.35">
      <c r="A27" s="283" t="s">
        <v>419</v>
      </c>
      <c r="B27" s="277" t="s">
        <v>421</v>
      </c>
      <c r="C27" s="276" t="s">
        <v>627</v>
      </c>
      <c r="D27" s="276" t="s">
        <v>145</v>
      </c>
      <c r="E27" s="304" t="s">
        <v>627</v>
      </c>
      <c r="F27" s="276" t="s">
        <v>145</v>
      </c>
      <c r="G27" s="310" t="s">
        <v>145</v>
      </c>
    </row>
    <row r="28" spans="1:7" ht="27.6" thickTop="1" thickBot="1" x14ac:dyDescent="0.35">
      <c r="A28" s="283" t="s">
        <v>422</v>
      </c>
      <c r="B28" s="277" t="s">
        <v>424</v>
      </c>
      <c r="C28" s="276" t="s">
        <v>628</v>
      </c>
      <c r="D28" s="276" t="s">
        <v>145</v>
      </c>
      <c r="E28" s="304" t="s">
        <v>628</v>
      </c>
      <c r="F28" s="276" t="s">
        <v>145</v>
      </c>
      <c r="G28" s="310" t="s">
        <v>145</v>
      </c>
    </row>
    <row r="29" spans="1:7" ht="27.6" thickTop="1" thickBot="1" x14ac:dyDescent="0.35">
      <c r="A29" s="283" t="s">
        <v>425</v>
      </c>
      <c r="B29" s="277" t="s">
        <v>427</v>
      </c>
      <c r="C29" s="276" t="s">
        <v>629</v>
      </c>
      <c r="D29" s="276" t="s">
        <v>145</v>
      </c>
      <c r="E29" s="304" t="s">
        <v>629</v>
      </c>
      <c r="F29" s="276" t="s">
        <v>145</v>
      </c>
      <c r="G29" s="310" t="s">
        <v>145</v>
      </c>
    </row>
    <row r="30" spans="1:7" ht="27.6" thickTop="1" thickBot="1" x14ac:dyDescent="0.35">
      <c r="A30" s="283" t="s">
        <v>428</v>
      </c>
      <c r="B30" s="277" t="s">
        <v>138</v>
      </c>
      <c r="C30" s="276" t="s">
        <v>630</v>
      </c>
      <c r="D30" s="276" t="s">
        <v>145</v>
      </c>
      <c r="E30" s="304" t="s">
        <v>630</v>
      </c>
      <c r="F30" s="276" t="s">
        <v>145</v>
      </c>
      <c r="G30" s="310" t="s">
        <v>145</v>
      </c>
    </row>
    <row r="31" spans="1:7" ht="27.6" thickTop="1" thickBot="1" x14ac:dyDescent="0.35">
      <c r="A31" s="283" t="s">
        <v>430</v>
      </c>
      <c r="B31" s="277" t="s">
        <v>137</v>
      </c>
      <c r="C31" s="276" t="s">
        <v>631</v>
      </c>
      <c r="D31" s="276" t="s">
        <v>145</v>
      </c>
      <c r="E31" s="304" t="s">
        <v>631</v>
      </c>
      <c r="F31" s="276" t="s">
        <v>145</v>
      </c>
      <c r="G31" s="310" t="s">
        <v>145</v>
      </c>
    </row>
    <row r="32" spans="1:7" ht="27.6" thickTop="1" thickBot="1" x14ac:dyDescent="0.35">
      <c r="A32" s="285" t="s">
        <v>183</v>
      </c>
      <c r="B32" s="257" t="s">
        <v>325</v>
      </c>
      <c r="C32" s="256" t="s">
        <v>632</v>
      </c>
      <c r="D32" s="256" t="s">
        <v>145</v>
      </c>
      <c r="E32" s="256" t="s">
        <v>145</v>
      </c>
      <c r="F32" s="302" t="s">
        <v>632</v>
      </c>
      <c r="G32" s="311" t="s">
        <v>145</v>
      </c>
    </row>
    <row r="33" spans="1:7" ht="40.799999999999997" thickTop="1" thickBot="1" x14ac:dyDescent="0.35">
      <c r="A33" s="283" t="s">
        <v>184</v>
      </c>
      <c r="B33" s="277" t="s">
        <v>432</v>
      </c>
      <c r="C33" s="276" t="s">
        <v>633</v>
      </c>
      <c r="D33" s="276" t="s">
        <v>145</v>
      </c>
      <c r="E33" s="276" t="s">
        <v>145</v>
      </c>
      <c r="F33" s="304" t="s">
        <v>633</v>
      </c>
      <c r="G33" s="310" t="s">
        <v>145</v>
      </c>
    </row>
    <row r="34" spans="1:7" ht="40.799999999999997" thickTop="1" thickBot="1" x14ac:dyDescent="0.35">
      <c r="A34" s="283" t="s">
        <v>185</v>
      </c>
      <c r="B34" s="277" t="s">
        <v>433</v>
      </c>
      <c r="C34" s="276" t="s">
        <v>634</v>
      </c>
      <c r="D34" s="276" t="s">
        <v>145</v>
      </c>
      <c r="E34" s="276" t="s">
        <v>145</v>
      </c>
      <c r="F34" s="304" t="s">
        <v>634</v>
      </c>
      <c r="G34" s="310" t="s">
        <v>145</v>
      </c>
    </row>
    <row r="35" spans="1:7" ht="40.799999999999997" thickTop="1" thickBot="1" x14ac:dyDescent="0.35">
      <c r="A35" s="283" t="s">
        <v>188</v>
      </c>
      <c r="B35" s="277" t="s">
        <v>435</v>
      </c>
      <c r="C35" s="276" t="s">
        <v>635</v>
      </c>
      <c r="D35" s="276" t="s">
        <v>145</v>
      </c>
      <c r="E35" s="276" t="s">
        <v>145</v>
      </c>
      <c r="F35" s="304" t="s">
        <v>635</v>
      </c>
      <c r="G35" s="310" t="s">
        <v>145</v>
      </c>
    </row>
    <row r="36" spans="1:7" ht="27.6" thickTop="1" thickBot="1" x14ac:dyDescent="0.35">
      <c r="A36" s="285" t="s">
        <v>191</v>
      </c>
      <c r="B36" s="257" t="s">
        <v>326</v>
      </c>
      <c r="C36" s="256" t="s">
        <v>812</v>
      </c>
      <c r="D36" s="256" t="s">
        <v>145</v>
      </c>
      <c r="E36" s="302" t="s">
        <v>636</v>
      </c>
      <c r="F36" s="302" t="s">
        <v>637</v>
      </c>
      <c r="G36" s="312" t="s">
        <v>813</v>
      </c>
    </row>
    <row r="37" spans="1:7" ht="27.6" thickTop="1" thickBot="1" x14ac:dyDescent="0.35">
      <c r="A37" s="283" t="s">
        <v>192</v>
      </c>
      <c r="B37" s="277" t="s">
        <v>190</v>
      </c>
      <c r="C37" s="276" t="s">
        <v>638</v>
      </c>
      <c r="D37" s="276" t="s">
        <v>145</v>
      </c>
      <c r="E37" s="276" t="s">
        <v>145</v>
      </c>
      <c r="F37" s="304" t="s">
        <v>638</v>
      </c>
      <c r="G37" s="310" t="s">
        <v>145</v>
      </c>
    </row>
    <row r="38" spans="1:7" ht="40.799999999999997" thickTop="1" thickBot="1" x14ac:dyDescent="0.35">
      <c r="A38" s="283" t="s">
        <v>194</v>
      </c>
      <c r="B38" s="277" t="s">
        <v>135</v>
      </c>
      <c r="C38" s="276" t="s">
        <v>639</v>
      </c>
      <c r="D38" s="276" t="s">
        <v>145</v>
      </c>
      <c r="E38" s="276" t="s">
        <v>145</v>
      </c>
      <c r="F38" s="304" t="s">
        <v>639</v>
      </c>
      <c r="G38" s="310" t="s">
        <v>145</v>
      </c>
    </row>
    <row r="39" spans="1:7" ht="54" thickTop="1" thickBot="1" x14ac:dyDescent="0.35">
      <c r="A39" s="283" t="s">
        <v>436</v>
      </c>
      <c r="B39" s="277" t="s">
        <v>437</v>
      </c>
      <c r="C39" s="276" t="s">
        <v>640</v>
      </c>
      <c r="D39" s="276" t="s">
        <v>145</v>
      </c>
      <c r="E39" s="304" t="s">
        <v>641</v>
      </c>
      <c r="F39" s="304" t="s">
        <v>641</v>
      </c>
      <c r="G39" s="310" t="s">
        <v>145</v>
      </c>
    </row>
    <row r="40" spans="1:7" ht="27.6" thickTop="1" thickBot="1" x14ac:dyDescent="0.35">
      <c r="A40" s="283" t="s">
        <v>438</v>
      </c>
      <c r="B40" s="277" t="s">
        <v>440</v>
      </c>
      <c r="C40" s="276" t="s">
        <v>642</v>
      </c>
      <c r="D40" s="276" t="s">
        <v>145</v>
      </c>
      <c r="E40" s="276" t="s">
        <v>145</v>
      </c>
      <c r="F40" s="304" t="s">
        <v>643</v>
      </c>
      <c r="G40" s="313" t="s">
        <v>643</v>
      </c>
    </row>
    <row r="41" spans="1:7" ht="27.6" thickTop="1" thickBot="1" x14ac:dyDescent="0.35">
      <c r="A41" s="283" t="s">
        <v>441</v>
      </c>
      <c r="B41" s="277" t="s">
        <v>442</v>
      </c>
      <c r="C41" s="276" t="s">
        <v>644</v>
      </c>
      <c r="D41" s="276" t="s">
        <v>145</v>
      </c>
      <c r="E41" s="276" t="s">
        <v>145</v>
      </c>
      <c r="F41" s="304" t="s">
        <v>645</v>
      </c>
      <c r="G41" s="313" t="s">
        <v>645</v>
      </c>
    </row>
    <row r="42" spans="1:7" ht="40.799999999999997" thickTop="1" thickBot="1" x14ac:dyDescent="0.35">
      <c r="A42" s="283" t="s">
        <v>443</v>
      </c>
      <c r="B42" s="277" t="s">
        <v>445</v>
      </c>
      <c r="C42" s="276" t="s">
        <v>646</v>
      </c>
      <c r="D42" s="276" t="s">
        <v>145</v>
      </c>
      <c r="E42" s="276" t="s">
        <v>145</v>
      </c>
      <c r="F42" s="276" t="s">
        <v>145</v>
      </c>
      <c r="G42" s="313" t="s">
        <v>646</v>
      </c>
    </row>
    <row r="43" spans="1:7" ht="40.799999999999997" thickTop="1" thickBot="1" x14ac:dyDescent="0.35">
      <c r="A43" s="283" t="s">
        <v>446</v>
      </c>
      <c r="B43" s="277" t="s">
        <v>448</v>
      </c>
      <c r="C43" s="276" t="s">
        <v>814</v>
      </c>
      <c r="D43" s="276" t="s">
        <v>145</v>
      </c>
      <c r="E43" s="276" t="s">
        <v>145</v>
      </c>
      <c r="F43" s="276" t="s">
        <v>145</v>
      </c>
      <c r="G43" s="313" t="s">
        <v>814</v>
      </c>
    </row>
    <row r="44" spans="1:7" ht="27.6" thickTop="1" thickBot="1" x14ac:dyDescent="0.35">
      <c r="A44" s="285" t="s">
        <v>196</v>
      </c>
      <c r="B44" s="257" t="s">
        <v>32</v>
      </c>
      <c r="C44" s="256" t="s">
        <v>647</v>
      </c>
      <c r="D44" s="256" t="s">
        <v>145</v>
      </c>
      <c r="E44" s="256" t="s">
        <v>145</v>
      </c>
      <c r="F44" s="256" t="s">
        <v>145</v>
      </c>
      <c r="G44" s="312" t="s">
        <v>647</v>
      </c>
    </row>
    <row r="45" spans="1:7" ht="27.6" thickTop="1" thickBot="1" x14ac:dyDescent="0.35">
      <c r="A45" s="283" t="s">
        <v>197</v>
      </c>
      <c r="B45" s="277" t="s">
        <v>144</v>
      </c>
      <c r="C45" s="276" t="s">
        <v>648</v>
      </c>
      <c r="D45" s="276" t="s">
        <v>145</v>
      </c>
      <c r="E45" s="276" t="s">
        <v>145</v>
      </c>
      <c r="F45" s="276" t="s">
        <v>145</v>
      </c>
      <c r="G45" s="313" t="s">
        <v>648</v>
      </c>
    </row>
    <row r="46" spans="1:7" ht="27.6" thickTop="1" thickBot="1" x14ac:dyDescent="0.35">
      <c r="A46" s="283" t="s">
        <v>199</v>
      </c>
      <c r="B46" s="277" t="s">
        <v>134</v>
      </c>
      <c r="C46" s="276" t="s">
        <v>649</v>
      </c>
      <c r="D46" s="276" t="s">
        <v>145</v>
      </c>
      <c r="E46" s="276" t="s">
        <v>145</v>
      </c>
      <c r="F46" s="276" t="s">
        <v>145</v>
      </c>
      <c r="G46" s="313" t="s">
        <v>649</v>
      </c>
    </row>
    <row r="47" spans="1:7" ht="27.6" thickTop="1" thickBot="1" x14ac:dyDescent="0.35">
      <c r="A47" s="283" t="s">
        <v>200</v>
      </c>
      <c r="B47" s="277" t="s">
        <v>450</v>
      </c>
      <c r="C47" s="276" t="s">
        <v>650</v>
      </c>
      <c r="D47" s="276" t="s">
        <v>145</v>
      </c>
      <c r="E47" s="276" t="s">
        <v>145</v>
      </c>
      <c r="F47" s="276" t="s">
        <v>145</v>
      </c>
      <c r="G47" s="313" t="s">
        <v>650</v>
      </c>
    </row>
    <row r="48" spans="1:7" ht="27.6" thickTop="1" thickBot="1" x14ac:dyDescent="0.35">
      <c r="A48" s="285" t="s">
        <v>201</v>
      </c>
      <c r="B48" s="257" t="s">
        <v>148</v>
      </c>
      <c r="C48" s="256" t="s">
        <v>815</v>
      </c>
      <c r="D48" s="302" t="s">
        <v>816</v>
      </c>
      <c r="E48" s="302" t="s">
        <v>817</v>
      </c>
      <c r="F48" s="302" t="s">
        <v>818</v>
      </c>
      <c r="G48" s="312" t="s">
        <v>819</v>
      </c>
    </row>
    <row r="49" spans="1:7" ht="40.799999999999997" thickTop="1" thickBot="1" x14ac:dyDescent="0.35">
      <c r="A49" s="283" t="s">
        <v>202</v>
      </c>
      <c r="B49" s="277" t="s">
        <v>452</v>
      </c>
      <c r="C49" s="276" t="s">
        <v>651</v>
      </c>
      <c r="D49" s="304" t="s">
        <v>651</v>
      </c>
      <c r="E49" s="276" t="s">
        <v>145</v>
      </c>
      <c r="F49" s="276" t="s">
        <v>145</v>
      </c>
      <c r="G49" s="310" t="s">
        <v>145</v>
      </c>
    </row>
    <row r="50" spans="1:7" ht="40.799999999999997" thickTop="1" thickBot="1" x14ac:dyDescent="0.35">
      <c r="A50" s="283" t="s">
        <v>203</v>
      </c>
      <c r="B50" s="277" t="s">
        <v>454</v>
      </c>
      <c r="C50" s="276" t="s">
        <v>652</v>
      </c>
      <c r="D50" s="276" t="s">
        <v>145</v>
      </c>
      <c r="E50" s="276" t="s">
        <v>145</v>
      </c>
      <c r="F50" s="304" t="s">
        <v>652</v>
      </c>
      <c r="G50" s="310" t="s">
        <v>145</v>
      </c>
    </row>
    <row r="51" spans="1:7" ht="27.6" thickTop="1" thickBot="1" x14ac:dyDescent="0.35">
      <c r="A51" s="287" t="s">
        <v>204</v>
      </c>
      <c r="B51" s="259" t="s">
        <v>456</v>
      </c>
      <c r="C51" s="258" t="s">
        <v>653</v>
      </c>
      <c r="D51" s="258" t="s">
        <v>145</v>
      </c>
      <c r="E51" s="258" t="s">
        <v>145</v>
      </c>
      <c r="F51" s="303" t="s">
        <v>653</v>
      </c>
      <c r="G51" s="314" t="s">
        <v>145</v>
      </c>
    </row>
    <row r="52" spans="1:7" ht="27.6" thickTop="1" thickBot="1" x14ac:dyDescent="0.35">
      <c r="A52" s="283" t="s">
        <v>205</v>
      </c>
      <c r="B52" s="277" t="s">
        <v>712</v>
      </c>
      <c r="C52" s="276" t="s">
        <v>820</v>
      </c>
      <c r="D52" s="276" t="s">
        <v>145</v>
      </c>
      <c r="E52" s="276" t="s">
        <v>145</v>
      </c>
      <c r="F52" s="304" t="s">
        <v>820</v>
      </c>
      <c r="G52" s="310" t="s">
        <v>145</v>
      </c>
    </row>
    <row r="53" spans="1:7" ht="27.6" thickTop="1" thickBot="1" x14ac:dyDescent="0.35">
      <c r="A53" s="283" t="s">
        <v>206</v>
      </c>
      <c r="B53" s="277" t="s">
        <v>718</v>
      </c>
      <c r="C53" s="276" t="s">
        <v>821</v>
      </c>
      <c r="D53" s="276" t="s">
        <v>145</v>
      </c>
      <c r="E53" s="276" t="s">
        <v>145</v>
      </c>
      <c r="F53" s="304" t="s">
        <v>821</v>
      </c>
      <c r="G53" s="310" t="s">
        <v>145</v>
      </c>
    </row>
    <row r="54" spans="1:7" ht="27.6" thickTop="1" thickBot="1" x14ac:dyDescent="0.35">
      <c r="A54" s="283" t="s">
        <v>207</v>
      </c>
      <c r="B54" s="277" t="s">
        <v>469</v>
      </c>
      <c r="C54" s="276" t="s">
        <v>822</v>
      </c>
      <c r="D54" s="276" t="s">
        <v>145</v>
      </c>
      <c r="E54" s="276" t="s">
        <v>145</v>
      </c>
      <c r="F54" s="304" t="s">
        <v>822</v>
      </c>
      <c r="G54" s="310" t="s">
        <v>145</v>
      </c>
    </row>
    <row r="55" spans="1:7" ht="27.6" thickTop="1" thickBot="1" x14ac:dyDescent="0.35">
      <c r="A55" s="283" t="s">
        <v>210</v>
      </c>
      <c r="B55" s="277" t="s">
        <v>762</v>
      </c>
      <c r="C55" s="276" t="s">
        <v>823</v>
      </c>
      <c r="D55" s="276" t="s">
        <v>145</v>
      </c>
      <c r="E55" s="276" t="s">
        <v>145</v>
      </c>
      <c r="F55" s="304" t="s">
        <v>823</v>
      </c>
      <c r="G55" s="310" t="s">
        <v>145</v>
      </c>
    </row>
    <row r="56" spans="1:7" ht="27.6" thickTop="1" thickBot="1" x14ac:dyDescent="0.35">
      <c r="A56" s="283" t="s">
        <v>213</v>
      </c>
      <c r="B56" s="277" t="s">
        <v>462</v>
      </c>
      <c r="C56" s="276" t="s">
        <v>824</v>
      </c>
      <c r="D56" s="276" t="s">
        <v>145</v>
      </c>
      <c r="E56" s="276" t="s">
        <v>145</v>
      </c>
      <c r="F56" s="304" t="s">
        <v>824</v>
      </c>
      <c r="G56" s="310" t="s">
        <v>145</v>
      </c>
    </row>
    <row r="57" spans="1:7" ht="27.6" thickTop="1" thickBot="1" x14ac:dyDescent="0.35">
      <c r="A57" s="283" t="s">
        <v>214</v>
      </c>
      <c r="B57" s="277" t="s">
        <v>464</v>
      </c>
      <c r="C57" s="276" t="s">
        <v>825</v>
      </c>
      <c r="D57" s="276" t="s">
        <v>145</v>
      </c>
      <c r="E57" s="276" t="s">
        <v>145</v>
      </c>
      <c r="F57" s="276" t="s">
        <v>145</v>
      </c>
      <c r="G57" s="313" t="s">
        <v>825</v>
      </c>
    </row>
    <row r="58" spans="1:7" ht="27.6" thickTop="1" thickBot="1" x14ac:dyDescent="0.35">
      <c r="A58" s="283" t="s">
        <v>215</v>
      </c>
      <c r="B58" s="277" t="s">
        <v>782</v>
      </c>
      <c r="C58" s="276" t="s">
        <v>826</v>
      </c>
      <c r="D58" s="276" t="s">
        <v>145</v>
      </c>
      <c r="E58" s="276" t="s">
        <v>145</v>
      </c>
      <c r="F58" s="276" t="s">
        <v>145</v>
      </c>
      <c r="G58" s="313" t="s">
        <v>826</v>
      </c>
    </row>
    <row r="59" spans="1:7" ht="27.6" thickTop="1" thickBot="1" x14ac:dyDescent="0.35">
      <c r="A59" s="283" t="s">
        <v>465</v>
      </c>
      <c r="B59" s="277" t="s">
        <v>460</v>
      </c>
      <c r="C59" s="276" t="s">
        <v>827</v>
      </c>
      <c r="D59" s="276" t="s">
        <v>145</v>
      </c>
      <c r="E59" s="276" t="s">
        <v>145</v>
      </c>
      <c r="F59" s="276" t="s">
        <v>145</v>
      </c>
      <c r="G59" s="313" t="s">
        <v>827</v>
      </c>
    </row>
    <row r="60" spans="1:7" ht="40.799999999999997" thickTop="1" thickBot="1" x14ac:dyDescent="0.35">
      <c r="A60" s="283" t="s">
        <v>466</v>
      </c>
      <c r="B60" s="277" t="s">
        <v>458</v>
      </c>
      <c r="C60" s="276" t="s">
        <v>654</v>
      </c>
      <c r="D60" s="276" t="s">
        <v>145</v>
      </c>
      <c r="E60" s="276" t="s">
        <v>145</v>
      </c>
      <c r="F60" s="276" t="s">
        <v>145</v>
      </c>
      <c r="G60" s="313" t="s">
        <v>654</v>
      </c>
    </row>
    <row r="61" spans="1:7" ht="40.799999999999997" thickTop="1" thickBot="1" x14ac:dyDescent="0.35">
      <c r="A61" s="283" t="s">
        <v>467</v>
      </c>
      <c r="B61" s="277" t="s">
        <v>209</v>
      </c>
      <c r="C61" s="276" t="s">
        <v>828</v>
      </c>
      <c r="D61" s="276" t="s">
        <v>145</v>
      </c>
      <c r="E61" s="276" t="s">
        <v>145</v>
      </c>
      <c r="F61" s="304" t="s">
        <v>828</v>
      </c>
      <c r="G61" s="310" t="s">
        <v>145</v>
      </c>
    </row>
    <row r="62" spans="1:7" ht="40.799999999999997" thickTop="1" thickBot="1" x14ac:dyDescent="0.35">
      <c r="A62" s="283" t="s">
        <v>783</v>
      </c>
      <c r="B62" s="277" t="s">
        <v>785</v>
      </c>
      <c r="C62" s="276" t="s">
        <v>829</v>
      </c>
      <c r="D62" s="276" t="s">
        <v>145</v>
      </c>
      <c r="E62" s="276" t="s">
        <v>145</v>
      </c>
      <c r="F62" s="304" t="s">
        <v>829</v>
      </c>
      <c r="G62" s="310" t="s">
        <v>145</v>
      </c>
    </row>
    <row r="63" spans="1:7" ht="40.799999999999997" thickTop="1" thickBot="1" x14ac:dyDescent="0.35">
      <c r="A63" s="283" t="s">
        <v>786</v>
      </c>
      <c r="B63" s="277" t="s">
        <v>788</v>
      </c>
      <c r="C63" s="276" t="s">
        <v>830</v>
      </c>
      <c r="D63" s="276" t="s">
        <v>145</v>
      </c>
      <c r="E63" s="276" t="s">
        <v>145</v>
      </c>
      <c r="F63" s="304" t="s">
        <v>830</v>
      </c>
      <c r="G63" s="310" t="s">
        <v>145</v>
      </c>
    </row>
    <row r="64" spans="1:7" ht="40.799999999999997" thickTop="1" thickBot="1" x14ac:dyDescent="0.35">
      <c r="A64" s="283" t="s">
        <v>789</v>
      </c>
      <c r="B64" s="277" t="s">
        <v>791</v>
      </c>
      <c r="C64" s="276" t="s">
        <v>831</v>
      </c>
      <c r="D64" s="276" t="s">
        <v>145</v>
      </c>
      <c r="E64" s="276" t="s">
        <v>145</v>
      </c>
      <c r="F64" s="304" t="s">
        <v>831</v>
      </c>
      <c r="G64" s="310" t="s">
        <v>145</v>
      </c>
    </row>
    <row r="65" spans="1:7" ht="40.799999999999997" thickTop="1" thickBot="1" x14ac:dyDescent="0.35">
      <c r="A65" s="283" t="s">
        <v>792</v>
      </c>
      <c r="B65" s="277" t="s">
        <v>794</v>
      </c>
      <c r="C65" s="276" t="s">
        <v>832</v>
      </c>
      <c r="D65" s="276" t="s">
        <v>145</v>
      </c>
      <c r="E65" s="276" t="s">
        <v>145</v>
      </c>
      <c r="F65" s="304" t="s">
        <v>832</v>
      </c>
      <c r="G65" s="310" t="s">
        <v>145</v>
      </c>
    </row>
    <row r="66" spans="1:7" ht="40.799999999999997" thickTop="1" thickBot="1" x14ac:dyDescent="0.35">
      <c r="A66" s="283" t="s">
        <v>795</v>
      </c>
      <c r="B66" s="277" t="s">
        <v>797</v>
      </c>
      <c r="C66" s="276" t="s">
        <v>833</v>
      </c>
      <c r="D66" s="276" t="s">
        <v>145</v>
      </c>
      <c r="E66" s="276" t="s">
        <v>145</v>
      </c>
      <c r="F66" s="304" t="s">
        <v>833</v>
      </c>
      <c r="G66" s="310" t="s">
        <v>145</v>
      </c>
    </row>
    <row r="67" spans="1:7" ht="40.799999999999997" thickTop="1" thickBot="1" x14ac:dyDescent="0.35">
      <c r="A67" s="283" t="s">
        <v>798</v>
      </c>
      <c r="B67" s="277" t="s">
        <v>212</v>
      </c>
      <c r="C67" s="276" t="s">
        <v>834</v>
      </c>
      <c r="D67" s="276" t="s">
        <v>145</v>
      </c>
      <c r="E67" s="304" t="s">
        <v>834</v>
      </c>
      <c r="F67" s="276" t="s">
        <v>145</v>
      </c>
      <c r="G67" s="310" t="s">
        <v>145</v>
      </c>
    </row>
    <row r="68" spans="1:7" ht="40.799999999999997" thickTop="1" thickBot="1" x14ac:dyDescent="0.35">
      <c r="A68" s="283" t="s">
        <v>799</v>
      </c>
      <c r="B68" s="277" t="s">
        <v>744</v>
      </c>
      <c r="C68" s="276" t="s">
        <v>835</v>
      </c>
      <c r="D68" s="276" t="s">
        <v>145</v>
      </c>
      <c r="E68" s="276" t="s">
        <v>145</v>
      </c>
      <c r="F68" s="304" t="s">
        <v>835</v>
      </c>
      <c r="G68" s="310" t="s">
        <v>145</v>
      </c>
    </row>
    <row r="69" spans="1:7" ht="40.799999999999997" thickTop="1" thickBot="1" x14ac:dyDescent="0.35">
      <c r="A69" s="283" t="s">
        <v>801</v>
      </c>
      <c r="B69" s="277" t="s">
        <v>749</v>
      </c>
      <c r="C69" s="276" t="s">
        <v>836</v>
      </c>
      <c r="D69" s="276" t="s">
        <v>145</v>
      </c>
      <c r="E69" s="276" t="s">
        <v>145</v>
      </c>
      <c r="F69" s="304" t="s">
        <v>836</v>
      </c>
      <c r="G69" s="310" t="s">
        <v>145</v>
      </c>
    </row>
    <row r="70" spans="1:7" ht="40.799999999999997" thickTop="1" thickBot="1" x14ac:dyDescent="0.35">
      <c r="A70" s="283" t="s">
        <v>803</v>
      </c>
      <c r="B70" s="277" t="s">
        <v>752</v>
      </c>
      <c r="C70" s="276" t="s">
        <v>837</v>
      </c>
      <c r="D70" s="276" t="s">
        <v>145</v>
      </c>
      <c r="E70" s="276" t="s">
        <v>145</v>
      </c>
      <c r="F70" s="304" t="s">
        <v>837</v>
      </c>
      <c r="G70" s="310" t="s">
        <v>145</v>
      </c>
    </row>
    <row r="71" spans="1:7" ht="40.799999999999997" thickTop="1" thickBot="1" x14ac:dyDescent="0.35">
      <c r="A71" s="283" t="s">
        <v>805</v>
      </c>
      <c r="B71" s="277" t="s">
        <v>755</v>
      </c>
      <c r="C71" s="276" t="s">
        <v>838</v>
      </c>
      <c r="D71" s="276" t="s">
        <v>145</v>
      </c>
      <c r="E71" s="276" t="s">
        <v>145</v>
      </c>
      <c r="F71" s="304" t="s">
        <v>838</v>
      </c>
      <c r="G71" s="310" t="s">
        <v>145</v>
      </c>
    </row>
    <row r="72" spans="1:7" ht="40.799999999999997" thickTop="1" thickBot="1" x14ac:dyDescent="0.35">
      <c r="A72" s="283" t="s">
        <v>807</v>
      </c>
      <c r="B72" s="277" t="s">
        <v>758</v>
      </c>
      <c r="C72" s="276" t="s">
        <v>839</v>
      </c>
      <c r="D72" s="276" t="s">
        <v>145</v>
      </c>
      <c r="E72" s="276" t="s">
        <v>145</v>
      </c>
      <c r="F72" s="304" t="s">
        <v>839</v>
      </c>
      <c r="G72" s="310" t="s">
        <v>145</v>
      </c>
    </row>
    <row r="73" spans="1:7" ht="27.6" thickTop="1" thickBot="1" x14ac:dyDescent="0.35">
      <c r="A73" s="283" t="s">
        <v>809</v>
      </c>
      <c r="B73" s="277" t="s">
        <v>811</v>
      </c>
      <c r="C73" s="276" t="s">
        <v>840</v>
      </c>
      <c r="D73" s="276" t="s">
        <v>145</v>
      </c>
      <c r="E73" s="276" t="s">
        <v>145</v>
      </c>
      <c r="F73" s="304" t="s">
        <v>840</v>
      </c>
      <c r="G73" s="310" t="s">
        <v>145</v>
      </c>
    </row>
    <row r="74" spans="1:7" ht="27.6" thickTop="1" thickBot="1" x14ac:dyDescent="0.35">
      <c r="A74" s="285" t="s">
        <v>217</v>
      </c>
      <c r="B74" s="257" t="s">
        <v>33</v>
      </c>
      <c r="C74" s="256" t="s">
        <v>841</v>
      </c>
      <c r="D74" s="256" t="s">
        <v>145</v>
      </c>
      <c r="E74" s="256" t="s">
        <v>145</v>
      </c>
      <c r="F74" s="302" t="s">
        <v>842</v>
      </c>
      <c r="G74" s="312" t="s">
        <v>843</v>
      </c>
    </row>
    <row r="75" spans="1:7" ht="27.6" thickTop="1" thickBot="1" x14ac:dyDescent="0.35">
      <c r="A75" s="283" t="s">
        <v>218</v>
      </c>
      <c r="B75" s="277" t="s">
        <v>471</v>
      </c>
      <c r="C75" s="276" t="s">
        <v>655</v>
      </c>
      <c r="D75" s="276" t="s">
        <v>145</v>
      </c>
      <c r="E75" s="276" t="s">
        <v>145</v>
      </c>
      <c r="F75" s="276" t="s">
        <v>145</v>
      </c>
      <c r="G75" s="313" t="s">
        <v>655</v>
      </c>
    </row>
    <row r="76" spans="1:7" ht="27.6" thickTop="1" thickBot="1" x14ac:dyDescent="0.35">
      <c r="A76" s="283" t="s">
        <v>220</v>
      </c>
      <c r="B76" s="277" t="s">
        <v>231</v>
      </c>
      <c r="C76" s="276" t="s">
        <v>656</v>
      </c>
      <c r="D76" s="276" t="s">
        <v>145</v>
      </c>
      <c r="E76" s="276" t="s">
        <v>145</v>
      </c>
      <c r="F76" s="304" t="s">
        <v>656</v>
      </c>
      <c r="G76" s="310" t="s">
        <v>145</v>
      </c>
    </row>
    <row r="77" spans="1:7" ht="27.6" thickTop="1" thickBot="1" x14ac:dyDescent="0.35">
      <c r="A77" s="283" t="s">
        <v>472</v>
      </c>
      <c r="B77" s="277" t="s">
        <v>229</v>
      </c>
      <c r="C77" s="276" t="s">
        <v>657</v>
      </c>
      <c r="D77" s="276" t="s">
        <v>145</v>
      </c>
      <c r="E77" s="276" t="s">
        <v>145</v>
      </c>
      <c r="F77" s="304" t="s">
        <v>657</v>
      </c>
      <c r="G77" s="310" t="s">
        <v>145</v>
      </c>
    </row>
    <row r="78" spans="1:7" ht="27.6" thickTop="1" thickBot="1" x14ac:dyDescent="0.35">
      <c r="A78" s="287" t="s">
        <v>473</v>
      </c>
      <c r="B78" s="259" t="s">
        <v>390</v>
      </c>
      <c r="C78" s="258" t="s">
        <v>658</v>
      </c>
      <c r="D78" s="258" t="s">
        <v>145</v>
      </c>
      <c r="E78" s="258" t="s">
        <v>145</v>
      </c>
      <c r="F78" s="258" t="s">
        <v>145</v>
      </c>
      <c r="G78" s="315" t="s">
        <v>658</v>
      </c>
    </row>
    <row r="79" spans="1:7" ht="27.6" thickTop="1" thickBot="1" x14ac:dyDescent="0.35">
      <c r="A79" s="289" t="s">
        <v>475</v>
      </c>
      <c r="B79" s="272" t="s">
        <v>393</v>
      </c>
      <c r="C79" s="271" t="s">
        <v>844</v>
      </c>
      <c r="D79" s="271" t="s">
        <v>145</v>
      </c>
      <c r="E79" s="271" t="s">
        <v>145</v>
      </c>
      <c r="F79" s="271" t="s">
        <v>145</v>
      </c>
      <c r="G79" s="316" t="s">
        <v>844</v>
      </c>
    </row>
    <row r="80" spans="1:7" ht="15" customHeight="1" thickBot="1" x14ac:dyDescent="0.35">
      <c r="A80" s="413" t="s">
        <v>857</v>
      </c>
      <c r="B80" s="413"/>
      <c r="C80" s="413"/>
      <c r="D80" s="305" t="s">
        <v>845</v>
      </c>
      <c r="E80" s="305" t="s">
        <v>846</v>
      </c>
      <c r="F80" s="305" t="s">
        <v>847</v>
      </c>
      <c r="G80" s="305" t="s">
        <v>848</v>
      </c>
    </row>
    <row r="81" spans="1:7" ht="14.4" customHeight="1" thickBot="1" x14ac:dyDescent="0.35">
      <c r="A81" s="414" t="s">
        <v>858</v>
      </c>
      <c r="B81" s="414"/>
      <c r="C81" s="414"/>
      <c r="D81" s="306" t="s">
        <v>659</v>
      </c>
      <c r="E81" s="306" t="s">
        <v>849</v>
      </c>
      <c r="F81" s="306" t="s">
        <v>850</v>
      </c>
      <c r="G81" s="306" t="s">
        <v>851</v>
      </c>
    </row>
    <row r="82" spans="1:7" ht="14.4" customHeight="1" thickBot="1" x14ac:dyDescent="0.35">
      <c r="A82" s="413" t="s">
        <v>707</v>
      </c>
      <c r="B82" s="413"/>
      <c r="C82" s="413"/>
      <c r="D82" s="305" t="s">
        <v>845</v>
      </c>
      <c r="E82" s="305" t="s">
        <v>852</v>
      </c>
      <c r="F82" s="305" t="s">
        <v>853</v>
      </c>
      <c r="G82" s="305" t="s">
        <v>660</v>
      </c>
    </row>
    <row r="83" spans="1:7" ht="14.4" customHeight="1" thickBot="1" x14ac:dyDescent="0.35">
      <c r="A83" s="414" t="s">
        <v>859</v>
      </c>
      <c r="B83" s="414"/>
      <c r="C83" s="414"/>
      <c r="D83" s="307" t="s">
        <v>659</v>
      </c>
      <c r="E83" s="306" t="s">
        <v>854</v>
      </c>
      <c r="F83" s="306" t="s">
        <v>855</v>
      </c>
      <c r="G83" s="306" t="s">
        <v>856</v>
      </c>
    </row>
  </sheetData>
  <mergeCells count="5">
    <mergeCell ref="A80:C80"/>
    <mergeCell ref="A81:C81"/>
    <mergeCell ref="A82:C82"/>
    <mergeCell ref="A83:C83"/>
    <mergeCell ref="A2:G2"/>
  </mergeCells>
  <printOptions horizontalCentered="1"/>
  <pageMargins left="0.51181102362204722" right="0.51181102362204722" top="0.78740157480314965" bottom="0.78740157480314965" header="0.19685039370078741" footer="0.19685039370078741"/>
  <pageSetup paperSize="9" scale="90" orientation="landscape" horizontalDpi="0" verticalDpi="0" r:id="rId1"/>
  <headerFooter>
    <oddHeader>&amp;L&amp;G&amp;R&amp;G</oddHeader>
    <oddFooter>&amp;RPágina &amp;P de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215D-594F-4E14-B907-35EE73E9090C}">
  <dimension ref="A1:I71"/>
  <sheetViews>
    <sheetView tabSelected="1" workbookViewId="0">
      <selection activeCell="K6" sqref="K6"/>
    </sheetView>
  </sheetViews>
  <sheetFormatPr defaultRowHeight="14.4" x14ac:dyDescent="0.3"/>
  <cols>
    <col min="1" max="2" width="11.109375" style="49" bestFit="1" customWidth="1"/>
    <col min="3" max="3" width="66.6640625" style="49" bestFit="1" customWidth="1"/>
    <col min="4" max="8" width="11.109375" style="49" bestFit="1" customWidth="1"/>
    <col min="9" max="11" width="16.6640625" style="49" bestFit="1" customWidth="1"/>
    <col min="12" max="16384" width="8.88671875" style="49"/>
  </cols>
  <sheetData>
    <row r="1" spans="1:9" x14ac:dyDescent="0.3">
      <c r="A1" s="38"/>
      <c r="B1" s="38"/>
      <c r="C1" s="38"/>
    </row>
    <row r="2" spans="1:9" ht="17.399999999999999" customHeight="1" x14ac:dyDescent="0.3">
      <c r="A2" s="404" t="s">
        <v>709</v>
      </c>
      <c r="B2" s="405"/>
      <c r="C2" s="405"/>
      <c r="D2" s="405"/>
      <c r="E2" s="405"/>
      <c r="F2" s="405"/>
      <c r="G2" s="405"/>
      <c r="H2" s="405"/>
      <c r="I2" s="406"/>
    </row>
    <row r="3" spans="1:9" x14ac:dyDescent="0.3">
      <c r="A3" s="215"/>
      <c r="B3" s="215"/>
      <c r="C3" s="215"/>
      <c r="D3" s="216"/>
      <c r="E3" s="216"/>
      <c r="F3" s="216"/>
    </row>
    <row r="4" spans="1:9" x14ac:dyDescent="0.3">
      <c r="A4" s="217" t="s">
        <v>693</v>
      </c>
      <c r="B4" s="218"/>
      <c r="C4" s="219"/>
      <c r="E4" s="220" t="s">
        <v>685</v>
      </c>
      <c r="F4" s="221"/>
    </row>
    <row r="5" spans="1:9" x14ac:dyDescent="0.3">
      <c r="A5" s="217" t="s">
        <v>686</v>
      </c>
      <c r="B5" s="218"/>
      <c r="C5" s="218"/>
      <c r="E5" s="220" t="s">
        <v>687</v>
      </c>
      <c r="F5" s="224"/>
    </row>
    <row r="6" spans="1:9" x14ac:dyDescent="0.3">
      <c r="A6" s="217" t="s">
        <v>694</v>
      </c>
      <c r="B6" s="218"/>
      <c r="C6" s="219"/>
      <c r="E6" s="220" t="s">
        <v>688</v>
      </c>
      <c r="F6" s="216"/>
    </row>
    <row r="7" spans="1:9" x14ac:dyDescent="0.3">
      <c r="A7" s="217" t="s">
        <v>1008</v>
      </c>
      <c r="B7" s="218"/>
      <c r="C7" s="219"/>
      <c r="E7" s="220" t="s">
        <v>689</v>
      </c>
      <c r="F7" s="216"/>
    </row>
    <row r="8" spans="1:9" x14ac:dyDescent="0.3">
      <c r="A8" s="225" t="s">
        <v>691</v>
      </c>
      <c r="B8" s="218"/>
      <c r="C8" s="219"/>
      <c r="D8" s="225"/>
      <c r="E8" s="224"/>
      <c r="F8" s="226"/>
    </row>
    <row r="9" spans="1:9" ht="15" thickBot="1" x14ac:dyDescent="0.35"/>
    <row r="10" spans="1:9" ht="30" customHeight="1" thickBot="1" x14ac:dyDescent="0.35">
      <c r="A10" s="267" t="s">
        <v>158</v>
      </c>
      <c r="B10" s="267" t="s">
        <v>159</v>
      </c>
      <c r="C10" s="268" t="s">
        <v>160</v>
      </c>
      <c r="D10" s="267" t="s">
        <v>161</v>
      </c>
      <c r="E10" s="267" t="s">
        <v>162</v>
      </c>
      <c r="F10" s="267" t="s">
        <v>477</v>
      </c>
      <c r="G10" s="267" t="s">
        <v>165</v>
      </c>
      <c r="H10" s="267" t="s">
        <v>166</v>
      </c>
      <c r="I10" s="267" t="s">
        <v>478</v>
      </c>
    </row>
    <row r="11" spans="1:9" ht="25.95" customHeight="1" x14ac:dyDescent="0.3">
      <c r="A11" s="317" t="s">
        <v>408</v>
      </c>
      <c r="B11" s="318" t="s">
        <v>169</v>
      </c>
      <c r="C11" s="319" t="s">
        <v>409</v>
      </c>
      <c r="D11" s="318" t="s">
        <v>95</v>
      </c>
      <c r="E11" s="273" t="s">
        <v>479</v>
      </c>
      <c r="F11" s="274" t="s">
        <v>480</v>
      </c>
      <c r="G11" s="274" t="s">
        <v>481</v>
      </c>
      <c r="H11" s="318" t="s">
        <v>860</v>
      </c>
      <c r="I11" s="320" t="s">
        <v>860</v>
      </c>
    </row>
    <row r="12" spans="1:9" ht="24" customHeight="1" x14ac:dyDescent="0.3">
      <c r="A12" s="283" t="s">
        <v>176</v>
      </c>
      <c r="B12" s="276" t="s">
        <v>7</v>
      </c>
      <c r="C12" s="277" t="s">
        <v>177</v>
      </c>
      <c r="D12" s="276" t="s">
        <v>8</v>
      </c>
      <c r="E12" s="265" t="s">
        <v>482</v>
      </c>
      <c r="F12" s="266" t="s">
        <v>483</v>
      </c>
      <c r="G12" s="266" t="s">
        <v>484</v>
      </c>
      <c r="H12" s="276" t="s">
        <v>861</v>
      </c>
      <c r="I12" s="310" t="s">
        <v>862</v>
      </c>
    </row>
    <row r="13" spans="1:9" ht="39" customHeight="1" x14ac:dyDescent="0.3">
      <c r="A13" s="283" t="s">
        <v>439</v>
      </c>
      <c r="B13" s="276" t="s">
        <v>7</v>
      </c>
      <c r="C13" s="277" t="s">
        <v>440</v>
      </c>
      <c r="D13" s="276" t="s">
        <v>8</v>
      </c>
      <c r="E13" s="265" t="s">
        <v>485</v>
      </c>
      <c r="F13" s="266" t="s">
        <v>486</v>
      </c>
      <c r="G13" s="266" t="s">
        <v>487</v>
      </c>
      <c r="H13" s="276" t="s">
        <v>863</v>
      </c>
      <c r="I13" s="310" t="s">
        <v>864</v>
      </c>
    </row>
    <row r="14" spans="1:9" ht="39" customHeight="1" x14ac:dyDescent="0.3">
      <c r="A14" s="283" t="s">
        <v>778</v>
      </c>
      <c r="B14" s="276" t="s">
        <v>43</v>
      </c>
      <c r="C14" s="277" t="s">
        <v>712</v>
      </c>
      <c r="D14" s="276" t="s">
        <v>216</v>
      </c>
      <c r="E14" s="265" t="s">
        <v>865</v>
      </c>
      <c r="F14" s="266" t="s">
        <v>866</v>
      </c>
      <c r="G14" s="266" t="s">
        <v>867</v>
      </c>
      <c r="H14" s="276" t="s">
        <v>868</v>
      </c>
      <c r="I14" s="310" t="s">
        <v>869</v>
      </c>
    </row>
    <row r="15" spans="1:9" ht="25.95" customHeight="1" x14ac:dyDescent="0.3">
      <c r="A15" s="287" t="s">
        <v>474</v>
      </c>
      <c r="B15" s="258" t="s">
        <v>169</v>
      </c>
      <c r="C15" s="259" t="s">
        <v>390</v>
      </c>
      <c r="D15" s="258" t="s">
        <v>36</v>
      </c>
      <c r="E15" s="261" t="s">
        <v>488</v>
      </c>
      <c r="F15" s="264" t="s">
        <v>489</v>
      </c>
      <c r="G15" s="264" t="s">
        <v>489</v>
      </c>
      <c r="H15" s="258" t="s">
        <v>870</v>
      </c>
      <c r="I15" s="314" t="s">
        <v>871</v>
      </c>
    </row>
    <row r="16" spans="1:9" ht="39" customHeight="1" x14ac:dyDescent="0.3">
      <c r="A16" s="283" t="s">
        <v>468</v>
      </c>
      <c r="B16" s="276" t="s">
        <v>7</v>
      </c>
      <c r="C16" s="277" t="s">
        <v>469</v>
      </c>
      <c r="D16" s="276" t="s">
        <v>198</v>
      </c>
      <c r="E16" s="265" t="s">
        <v>872</v>
      </c>
      <c r="F16" s="266" t="s">
        <v>491</v>
      </c>
      <c r="G16" s="266" t="s">
        <v>873</v>
      </c>
      <c r="H16" s="276" t="s">
        <v>874</v>
      </c>
      <c r="I16" s="310" t="s">
        <v>875</v>
      </c>
    </row>
    <row r="17" spans="1:9" ht="24" customHeight="1" x14ac:dyDescent="0.3">
      <c r="A17" s="283" t="s">
        <v>228</v>
      </c>
      <c r="B17" s="276" t="s">
        <v>7</v>
      </c>
      <c r="C17" s="277" t="s">
        <v>229</v>
      </c>
      <c r="D17" s="276" t="s">
        <v>8</v>
      </c>
      <c r="E17" s="265" t="s">
        <v>492</v>
      </c>
      <c r="F17" s="266" t="s">
        <v>493</v>
      </c>
      <c r="G17" s="266" t="s">
        <v>494</v>
      </c>
      <c r="H17" s="276" t="s">
        <v>876</v>
      </c>
      <c r="I17" s="310" t="s">
        <v>877</v>
      </c>
    </row>
    <row r="18" spans="1:9" ht="52.05" customHeight="1" x14ac:dyDescent="0.3">
      <c r="A18" s="283" t="s">
        <v>221</v>
      </c>
      <c r="B18" s="276" t="s">
        <v>7</v>
      </c>
      <c r="C18" s="277" t="s">
        <v>433</v>
      </c>
      <c r="D18" s="276" t="s">
        <v>8</v>
      </c>
      <c r="E18" s="265" t="s">
        <v>495</v>
      </c>
      <c r="F18" s="266" t="s">
        <v>496</v>
      </c>
      <c r="G18" s="266" t="s">
        <v>497</v>
      </c>
      <c r="H18" s="276" t="s">
        <v>878</v>
      </c>
      <c r="I18" s="310" t="s">
        <v>879</v>
      </c>
    </row>
    <row r="19" spans="1:9" ht="39" customHeight="1" x14ac:dyDescent="0.3">
      <c r="A19" s="283" t="s">
        <v>470</v>
      </c>
      <c r="B19" s="276" t="s">
        <v>43</v>
      </c>
      <c r="C19" s="277" t="s">
        <v>471</v>
      </c>
      <c r="D19" s="276" t="s">
        <v>17</v>
      </c>
      <c r="E19" s="265" t="s">
        <v>498</v>
      </c>
      <c r="F19" s="266" t="s">
        <v>499</v>
      </c>
      <c r="G19" s="266" t="s">
        <v>500</v>
      </c>
      <c r="H19" s="276" t="s">
        <v>880</v>
      </c>
      <c r="I19" s="310" t="s">
        <v>881</v>
      </c>
    </row>
    <row r="20" spans="1:9" ht="52.05" customHeight="1" x14ac:dyDescent="0.3">
      <c r="A20" s="283" t="s">
        <v>397</v>
      </c>
      <c r="B20" s="276" t="s">
        <v>7</v>
      </c>
      <c r="C20" s="277" t="s">
        <v>398</v>
      </c>
      <c r="D20" s="276" t="s">
        <v>11</v>
      </c>
      <c r="E20" s="265" t="s">
        <v>501</v>
      </c>
      <c r="F20" s="266" t="s">
        <v>502</v>
      </c>
      <c r="G20" s="266" t="s">
        <v>503</v>
      </c>
      <c r="H20" s="276" t="s">
        <v>882</v>
      </c>
      <c r="I20" s="310" t="s">
        <v>883</v>
      </c>
    </row>
    <row r="21" spans="1:9" ht="39" customHeight="1" x14ac:dyDescent="0.3">
      <c r="A21" s="283" t="s">
        <v>181</v>
      </c>
      <c r="B21" s="276" t="s">
        <v>7</v>
      </c>
      <c r="C21" s="277" t="s">
        <v>182</v>
      </c>
      <c r="D21" s="276" t="s">
        <v>97</v>
      </c>
      <c r="E21" s="265" t="s">
        <v>504</v>
      </c>
      <c r="F21" s="266" t="s">
        <v>505</v>
      </c>
      <c r="G21" s="266" t="s">
        <v>506</v>
      </c>
      <c r="H21" s="276" t="s">
        <v>884</v>
      </c>
      <c r="I21" s="310" t="s">
        <v>885</v>
      </c>
    </row>
    <row r="22" spans="1:9" ht="64.95" customHeight="1" x14ac:dyDescent="0.3">
      <c r="A22" s="283" t="s">
        <v>223</v>
      </c>
      <c r="B22" s="276" t="s">
        <v>7</v>
      </c>
      <c r="C22" s="277" t="s">
        <v>437</v>
      </c>
      <c r="D22" s="276" t="s">
        <v>97</v>
      </c>
      <c r="E22" s="265" t="s">
        <v>507</v>
      </c>
      <c r="F22" s="266" t="s">
        <v>508</v>
      </c>
      <c r="G22" s="266" t="s">
        <v>509</v>
      </c>
      <c r="H22" s="276" t="s">
        <v>886</v>
      </c>
      <c r="I22" s="310" t="s">
        <v>887</v>
      </c>
    </row>
    <row r="23" spans="1:9" ht="39" customHeight="1" x14ac:dyDescent="0.3">
      <c r="A23" s="283" t="s">
        <v>461</v>
      </c>
      <c r="B23" s="276" t="s">
        <v>43</v>
      </c>
      <c r="C23" s="277" t="s">
        <v>462</v>
      </c>
      <c r="D23" s="276" t="s">
        <v>216</v>
      </c>
      <c r="E23" s="265" t="s">
        <v>510</v>
      </c>
      <c r="F23" s="266" t="s">
        <v>888</v>
      </c>
      <c r="G23" s="266" t="s">
        <v>889</v>
      </c>
      <c r="H23" s="276" t="s">
        <v>890</v>
      </c>
      <c r="I23" s="310" t="s">
        <v>891</v>
      </c>
    </row>
    <row r="24" spans="1:9" ht="39" customHeight="1" x14ac:dyDescent="0.3">
      <c r="A24" s="287" t="s">
        <v>476</v>
      </c>
      <c r="B24" s="258" t="s">
        <v>169</v>
      </c>
      <c r="C24" s="259" t="s">
        <v>393</v>
      </c>
      <c r="D24" s="258" t="s">
        <v>36</v>
      </c>
      <c r="E24" s="261" t="s">
        <v>511</v>
      </c>
      <c r="F24" s="264" t="s">
        <v>512</v>
      </c>
      <c r="G24" s="264" t="s">
        <v>513</v>
      </c>
      <c r="H24" s="258" t="s">
        <v>892</v>
      </c>
      <c r="I24" s="314" t="s">
        <v>893</v>
      </c>
    </row>
    <row r="25" spans="1:9" ht="25.95" customHeight="1" x14ac:dyDescent="0.3">
      <c r="A25" s="283" t="s">
        <v>230</v>
      </c>
      <c r="B25" s="276" t="s">
        <v>7</v>
      </c>
      <c r="C25" s="277" t="s">
        <v>231</v>
      </c>
      <c r="D25" s="276" t="s">
        <v>198</v>
      </c>
      <c r="E25" s="265" t="s">
        <v>514</v>
      </c>
      <c r="F25" s="266" t="s">
        <v>515</v>
      </c>
      <c r="G25" s="266" t="s">
        <v>516</v>
      </c>
      <c r="H25" s="276" t="s">
        <v>894</v>
      </c>
      <c r="I25" s="310" t="s">
        <v>895</v>
      </c>
    </row>
    <row r="26" spans="1:9" ht="52.05" customHeight="1" x14ac:dyDescent="0.3">
      <c r="A26" s="283" t="s">
        <v>447</v>
      </c>
      <c r="B26" s="276" t="s">
        <v>43</v>
      </c>
      <c r="C26" s="277" t="s">
        <v>448</v>
      </c>
      <c r="D26" s="276" t="s">
        <v>8</v>
      </c>
      <c r="E26" s="265" t="s">
        <v>517</v>
      </c>
      <c r="F26" s="266" t="s">
        <v>896</v>
      </c>
      <c r="G26" s="266" t="s">
        <v>897</v>
      </c>
      <c r="H26" s="276" t="s">
        <v>524</v>
      </c>
      <c r="I26" s="310" t="s">
        <v>898</v>
      </c>
    </row>
    <row r="27" spans="1:9" ht="39" customHeight="1" x14ac:dyDescent="0.3">
      <c r="A27" s="283" t="s">
        <v>189</v>
      </c>
      <c r="B27" s="276" t="s">
        <v>7</v>
      </c>
      <c r="C27" s="277" t="s">
        <v>190</v>
      </c>
      <c r="D27" s="276" t="s">
        <v>8</v>
      </c>
      <c r="E27" s="265" t="s">
        <v>518</v>
      </c>
      <c r="F27" s="266" t="s">
        <v>519</v>
      </c>
      <c r="G27" s="266" t="s">
        <v>520</v>
      </c>
      <c r="H27" s="276" t="s">
        <v>899</v>
      </c>
      <c r="I27" s="310" t="s">
        <v>900</v>
      </c>
    </row>
    <row r="28" spans="1:9" ht="39" customHeight="1" x14ac:dyDescent="0.3">
      <c r="A28" s="283" t="s">
        <v>222</v>
      </c>
      <c r="B28" s="276" t="s">
        <v>7</v>
      </c>
      <c r="C28" s="277" t="s">
        <v>442</v>
      </c>
      <c r="D28" s="276" t="s">
        <v>8</v>
      </c>
      <c r="E28" s="265" t="s">
        <v>521</v>
      </c>
      <c r="F28" s="266" t="s">
        <v>522</v>
      </c>
      <c r="G28" s="266" t="s">
        <v>523</v>
      </c>
      <c r="H28" s="276" t="s">
        <v>901</v>
      </c>
      <c r="I28" s="310" t="s">
        <v>902</v>
      </c>
    </row>
    <row r="29" spans="1:9" ht="52.05" customHeight="1" x14ac:dyDescent="0.3">
      <c r="A29" s="283" t="s">
        <v>225</v>
      </c>
      <c r="B29" s="276" t="s">
        <v>7</v>
      </c>
      <c r="C29" s="277" t="s">
        <v>135</v>
      </c>
      <c r="D29" s="276" t="s">
        <v>8</v>
      </c>
      <c r="E29" s="265" t="s">
        <v>525</v>
      </c>
      <c r="F29" s="266" t="s">
        <v>526</v>
      </c>
      <c r="G29" s="266" t="s">
        <v>527</v>
      </c>
      <c r="H29" s="276" t="s">
        <v>903</v>
      </c>
      <c r="I29" s="310" t="s">
        <v>904</v>
      </c>
    </row>
    <row r="30" spans="1:9" ht="39" customHeight="1" x14ac:dyDescent="0.3">
      <c r="A30" s="283" t="s">
        <v>802</v>
      </c>
      <c r="B30" s="276" t="s">
        <v>169</v>
      </c>
      <c r="C30" s="277" t="s">
        <v>749</v>
      </c>
      <c r="D30" s="276" t="s">
        <v>97</v>
      </c>
      <c r="E30" s="265" t="s">
        <v>905</v>
      </c>
      <c r="F30" s="266" t="s">
        <v>906</v>
      </c>
      <c r="G30" s="266" t="s">
        <v>907</v>
      </c>
      <c r="H30" s="276" t="s">
        <v>908</v>
      </c>
      <c r="I30" s="310" t="s">
        <v>909</v>
      </c>
    </row>
    <row r="31" spans="1:9" ht="52.05" customHeight="1" x14ac:dyDescent="0.3">
      <c r="A31" s="283" t="s">
        <v>434</v>
      </c>
      <c r="B31" s="276" t="s">
        <v>7</v>
      </c>
      <c r="C31" s="277" t="s">
        <v>435</v>
      </c>
      <c r="D31" s="276" t="s">
        <v>8</v>
      </c>
      <c r="E31" s="265" t="s">
        <v>528</v>
      </c>
      <c r="F31" s="266" t="s">
        <v>529</v>
      </c>
      <c r="G31" s="266" t="s">
        <v>530</v>
      </c>
      <c r="H31" s="276" t="s">
        <v>910</v>
      </c>
      <c r="I31" s="310" t="s">
        <v>911</v>
      </c>
    </row>
    <row r="32" spans="1:9" ht="39" customHeight="1" x14ac:dyDescent="0.3">
      <c r="A32" s="283" t="s">
        <v>444</v>
      </c>
      <c r="B32" s="276" t="s">
        <v>43</v>
      </c>
      <c r="C32" s="277" t="s">
        <v>445</v>
      </c>
      <c r="D32" s="276" t="s">
        <v>8</v>
      </c>
      <c r="E32" s="265" t="s">
        <v>531</v>
      </c>
      <c r="F32" s="266" t="s">
        <v>532</v>
      </c>
      <c r="G32" s="266" t="s">
        <v>533</v>
      </c>
      <c r="H32" s="276" t="s">
        <v>912</v>
      </c>
      <c r="I32" s="310" t="s">
        <v>913</v>
      </c>
    </row>
    <row r="33" spans="1:9" ht="39" customHeight="1" x14ac:dyDescent="0.3">
      <c r="A33" s="283" t="s">
        <v>411</v>
      </c>
      <c r="B33" s="276" t="s">
        <v>7</v>
      </c>
      <c r="C33" s="277" t="s">
        <v>412</v>
      </c>
      <c r="D33" s="276" t="s">
        <v>8</v>
      </c>
      <c r="E33" s="265" t="s">
        <v>534</v>
      </c>
      <c r="F33" s="266" t="s">
        <v>535</v>
      </c>
      <c r="G33" s="266" t="s">
        <v>536</v>
      </c>
      <c r="H33" s="276" t="s">
        <v>914</v>
      </c>
      <c r="I33" s="310" t="s">
        <v>915</v>
      </c>
    </row>
    <row r="34" spans="1:9" ht="39.6" x14ac:dyDescent="0.3">
      <c r="A34" s="283" t="s">
        <v>211</v>
      </c>
      <c r="B34" s="276" t="s">
        <v>7</v>
      </c>
      <c r="C34" s="277" t="s">
        <v>212</v>
      </c>
      <c r="D34" s="276" t="s">
        <v>198</v>
      </c>
      <c r="E34" s="265" t="s">
        <v>916</v>
      </c>
      <c r="F34" s="266" t="s">
        <v>552</v>
      </c>
      <c r="G34" s="266" t="s">
        <v>917</v>
      </c>
      <c r="H34" s="276" t="s">
        <v>918</v>
      </c>
      <c r="I34" s="310" t="s">
        <v>919</v>
      </c>
    </row>
    <row r="35" spans="1:9" ht="25.95" customHeight="1" x14ac:dyDescent="0.3">
      <c r="A35" s="283" t="s">
        <v>227</v>
      </c>
      <c r="B35" s="276" t="s">
        <v>7</v>
      </c>
      <c r="C35" s="277" t="s">
        <v>134</v>
      </c>
      <c r="D35" s="276" t="s">
        <v>8</v>
      </c>
      <c r="E35" s="265" t="s">
        <v>537</v>
      </c>
      <c r="F35" s="266" t="s">
        <v>538</v>
      </c>
      <c r="G35" s="266" t="s">
        <v>539</v>
      </c>
      <c r="H35" s="276" t="s">
        <v>920</v>
      </c>
      <c r="I35" s="310" t="s">
        <v>921</v>
      </c>
    </row>
    <row r="36" spans="1:9" ht="39" customHeight="1" x14ac:dyDescent="0.3">
      <c r="A36" s="283" t="s">
        <v>193</v>
      </c>
      <c r="B36" s="276" t="s">
        <v>7</v>
      </c>
      <c r="C36" s="277" t="s">
        <v>130</v>
      </c>
      <c r="D36" s="276" t="s">
        <v>11</v>
      </c>
      <c r="E36" s="265" t="s">
        <v>540</v>
      </c>
      <c r="F36" s="266" t="s">
        <v>541</v>
      </c>
      <c r="G36" s="266" t="s">
        <v>542</v>
      </c>
      <c r="H36" s="276" t="s">
        <v>922</v>
      </c>
      <c r="I36" s="310" t="s">
        <v>923</v>
      </c>
    </row>
    <row r="37" spans="1:9" ht="39" customHeight="1" x14ac:dyDescent="0.3">
      <c r="A37" s="283" t="s">
        <v>423</v>
      </c>
      <c r="B37" s="276" t="s">
        <v>7</v>
      </c>
      <c r="C37" s="277" t="s">
        <v>424</v>
      </c>
      <c r="D37" s="276" t="s">
        <v>96</v>
      </c>
      <c r="E37" s="265" t="s">
        <v>543</v>
      </c>
      <c r="F37" s="266" t="s">
        <v>544</v>
      </c>
      <c r="G37" s="266" t="s">
        <v>545</v>
      </c>
      <c r="H37" s="276" t="s">
        <v>924</v>
      </c>
      <c r="I37" s="310" t="s">
        <v>925</v>
      </c>
    </row>
    <row r="38" spans="1:9" ht="52.05" customHeight="1" x14ac:dyDescent="0.3">
      <c r="A38" s="283" t="s">
        <v>429</v>
      </c>
      <c r="B38" s="276" t="s">
        <v>7</v>
      </c>
      <c r="C38" s="277" t="s">
        <v>138</v>
      </c>
      <c r="D38" s="276" t="s">
        <v>11</v>
      </c>
      <c r="E38" s="265" t="s">
        <v>546</v>
      </c>
      <c r="F38" s="266" t="s">
        <v>547</v>
      </c>
      <c r="G38" s="266" t="s">
        <v>548</v>
      </c>
      <c r="H38" s="276" t="s">
        <v>926</v>
      </c>
      <c r="I38" s="310" t="s">
        <v>927</v>
      </c>
    </row>
    <row r="39" spans="1:9" ht="39.6" x14ac:dyDescent="0.3">
      <c r="A39" s="283" t="s">
        <v>779</v>
      </c>
      <c r="B39" s="276" t="s">
        <v>43</v>
      </c>
      <c r="C39" s="277" t="s">
        <v>718</v>
      </c>
      <c r="D39" s="276" t="s">
        <v>216</v>
      </c>
      <c r="E39" s="265" t="s">
        <v>865</v>
      </c>
      <c r="F39" s="266" t="s">
        <v>928</v>
      </c>
      <c r="G39" s="266" t="s">
        <v>929</v>
      </c>
      <c r="H39" s="276" t="s">
        <v>557</v>
      </c>
      <c r="I39" s="310" t="s">
        <v>930</v>
      </c>
    </row>
    <row r="40" spans="1:9" ht="39.6" x14ac:dyDescent="0.3">
      <c r="A40" s="283" t="s">
        <v>414</v>
      </c>
      <c r="B40" s="276" t="s">
        <v>7</v>
      </c>
      <c r="C40" s="277" t="s">
        <v>415</v>
      </c>
      <c r="D40" s="276" t="s">
        <v>8</v>
      </c>
      <c r="E40" s="265" t="s">
        <v>549</v>
      </c>
      <c r="F40" s="266" t="s">
        <v>550</v>
      </c>
      <c r="G40" s="266" t="s">
        <v>551</v>
      </c>
      <c r="H40" s="276" t="s">
        <v>557</v>
      </c>
      <c r="I40" s="310" t="s">
        <v>507</v>
      </c>
    </row>
    <row r="41" spans="1:9" x14ac:dyDescent="0.3">
      <c r="A41" s="283" t="s">
        <v>404</v>
      </c>
      <c r="B41" s="276" t="s">
        <v>169</v>
      </c>
      <c r="C41" s="277" t="s">
        <v>179</v>
      </c>
      <c r="D41" s="276" t="s">
        <v>95</v>
      </c>
      <c r="E41" s="265" t="s">
        <v>554</v>
      </c>
      <c r="F41" s="266" t="s">
        <v>555</v>
      </c>
      <c r="G41" s="266" t="s">
        <v>556</v>
      </c>
      <c r="H41" s="276" t="s">
        <v>931</v>
      </c>
      <c r="I41" s="310" t="s">
        <v>932</v>
      </c>
    </row>
    <row r="42" spans="1:9" ht="39" customHeight="1" x14ac:dyDescent="0.3">
      <c r="A42" s="283" t="s">
        <v>451</v>
      </c>
      <c r="B42" s="276" t="s">
        <v>7</v>
      </c>
      <c r="C42" s="277" t="s">
        <v>452</v>
      </c>
      <c r="D42" s="276" t="s">
        <v>198</v>
      </c>
      <c r="E42" s="265" t="s">
        <v>488</v>
      </c>
      <c r="F42" s="266" t="s">
        <v>558</v>
      </c>
      <c r="G42" s="266" t="s">
        <v>558</v>
      </c>
      <c r="H42" s="276" t="s">
        <v>562</v>
      </c>
      <c r="I42" s="310" t="s">
        <v>553</v>
      </c>
    </row>
    <row r="43" spans="1:9" ht="52.05" customHeight="1" x14ac:dyDescent="0.3">
      <c r="A43" s="283" t="s">
        <v>417</v>
      </c>
      <c r="B43" s="276" t="s">
        <v>7</v>
      </c>
      <c r="C43" s="277" t="s">
        <v>418</v>
      </c>
      <c r="D43" s="276" t="s">
        <v>8</v>
      </c>
      <c r="E43" s="265" t="s">
        <v>559</v>
      </c>
      <c r="F43" s="266" t="s">
        <v>560</v>
      </c>
      <c r="G43" s="266" t="s">
        <v>561</v>
      </c>
      <c r="H43" s="276" t="s">
        <v>566</v>
      </c>
      <c r="I43" s="310" t="s">
        <v>933</v>
      </c>
    </row>
    <row r="44" spans="1:9" ht="39" customHeight="1" x14ac:dyDescent="0.3">
      <c r="A44" s="283" t="s">
        <v>784</v>
      </c>
      <c r="B44" s="276" t="s">
        <v>7</v>
      </c>
      <c r="C44" s="277" t="s">
        <v>785</v>
      </c>
      <c r="D44" s="276" t="s">
        <v>97</v>
      </c>
      <c r="E44" s="265" t="s">
        <v>934</v>
      </c>
      <c r="F44" s="266" t="s">
        <v>935</v>
      </c>
      <c r="G44" s="266" t="s">
        <v>936</v>
      </c>
      <c r="H44" s="276" t="s">
        <v>937</v>
      </c>
      <c r="I44" s="310" t="s">
        <v>938</v>
      </c>
    </row>
    <row r="45" spans="1:9" ht="26.4" x14ac:dyDescent="0.3">
      <c r="A45" s="283" t="s">
        <v>810</v>
      </c>
      <c r="B45" s="276" t="s">
        <v>7</v>
      </c>
      <c r="C45" s="277" t="s">
        <v>811</v>
      </c>
      <c r="D45" s="276" t="s">
        <v>198</v>
      </c>
      <c r="E45" s="265" t="s">
        <v>939</v>
      </c>
      <c r="F45" s="266" t="s">
        <v>940</v>
      </c>
      <c r="G45" s="266" t="s">
        <v>941</v>
      </c>
      <c r="H45" s="276" t="s">
        <v>942</v>
      </c>
      <c r="I45" s="310" t="s">
        <v>943</v>
      </c>
    </row>
    <row r="46" spans="1:9" ht="39.6" x14ac:dyDescent="0.3">
      <c r="A46" s="283" t="s">
        <v>426</v>
      </c>
      <c r="B46" s="276" t="s">
        <v>7</v>
      </c>
      <c r="C46" s="277" t="s">
        <v>427</v>
      </c>
      <c r="D46" s="276" t="s">
        <v>96</v>
      </c>
      <c r="E46" s="265" t="s">
        <v>563</v>
      </c>
      <c r="F46" s="266" t="s">
        <v>564</v>
      </c>
      <c r="G46" s="266" t="s">
        <v>565</v>
      </c>
      <c r="H46" s="276" t="s">
        <v>942</v>
      </c>
      <c r="I46" s="310" t="s">
        <v>944</v>
      </c>
    </row>
    <row r="47" spans="1:9" ht="25.95" customHeight="1" x14ac:dyDescent="0.3">
      <c r="A47" s="283" t="s">
        <v>400</v>
      </c>
      <c r="B47" s="276" t="s">
        <v>7</v>
      </c>
      <c r="C47" s="277" t="s">
        <v>401</v>
      </c>
      <c r="D47" s="276" t="s">
        <v>11</v>
      </c>
      <c r="E47" s="265" t="s">
        <v>501</v>
      </c>
      <c r="F47" s="266" t="s">
        <v>567</v>
      </c>
      <c r="G47" s="266" t="s">
        <v>568</v>
      </c>
      <c r="H47" s="276" t="s">
        <v>945</v>
      </c>
      <c r="I47" s="310" t="s">
        <v>946</v>
      </c>
    </row>
    <row r="48" spans="1:9" ht="39" customHeight="1" x14ac:dyDescent="0.3">
      <c r="A48" s="283" t="s">
        <v>219</v>
      </c>
      <c r="B48" s="276" t="s">
        <v>7</v>
      </c>
      <c r="C48" s="277" t="s">
        <v>432</v>
      </c>
      <c r="D48" s="276" t="s">
        <v>8</v>
      </c>
      <c r="E48" s="265" t="s">
        <v>495</v>
      </c>
      <c r="F48" s="266" t="s">
        <v>569</v>
      </c>
      <c r="G48" s="266" t="s">
        <v>570</v>
      </c>
      <c r="H48" s="276" t="s">
        <v>947</v>
      </c>
      <c r="I48" s="310" t="s">
        <v>948</v>
      </c>
    </row>
    <row r="49" spans="1:9" ht="25.95" customHeight="1" x14ac:dyDescent="0.3">
      <c r="A49" s="283" t="s">
        <v>463</v>
      </c>
      <c r="B49" s="276" t="s">
        <v>43</v>
      </c>
      <c r="C49" s="277" t="s">
        <v>464</v>
      </c>
      <c r="D49" s="276" t="s">
        <v>216</v>
      </c>
      <c r="E49" s="265" t="s">
        <v>571</v>
      </c>
      <c r="F49" s="266" t="s">
        <v>949</v>
      </c>
      <c r="G49" s="266" t="s">
        <v>950</v>
      </c>
      <c r="H49" s="276" t="s">
        <v>947</v>
      </c>
      <c r="I49" s="310" t="s">
        <v>951</v>
      </c>
    </row>
    <row r="50" spans="1:9" ht="52.05" customHeight="1" x14ac:dyDescent="0.3">
      <c r="A50" s="283" t="s">
        <v>808</v>
      </c>
      <c r="B50" s="276" t="s">
        <v>169</v>
      </c>
      <c r="C50" s="277" t="s">
        <v>758</v>
      </c>
      <c r="D50" s="276" t="s">
        <v>97</v>
      </c>
      <c r="E50" s="265" t="s">
        <v>905</v>
      </c>
      <c r="F50" s="266" t="s">
        <v>952</v>
      </c>
      <c r="G50" s="266" t="s">
        <v>953</v>
      </c>
      <c r="H50" s="276" t="s">
        <v>573</v>
      </c>
      <c r="I50" s="310" t="s">
        <v>954</v>
      </c>
    </row>
    <row r="51" spans="1:9" ht="25.95" customHeight="1" x14ac:dyDescent="0.3">
      <c r="A51" s="283" t="s">
        <v>431</v>
      </c>
      <c r="B51" s="276" t="s">
        <v>7</v>
      </c>
      <c r="C51" s="277" t="s">
        <v>137</v>
      </c>
      <c r="D51" s="276" t="s">
        <v>11</v>
      </c>
      <c r="E51" s="265" t="s">
        <v>546</v>
      </c>
      <c r="F51" s="266" t="s">
        <v>574</v>
      </c>
      <c r="G51" s="266" t="s">
        <v>575</v>
      </c>
      <c r="H51" s="276" t="s">
        <v>955</v>
      </c>
      <c r="I51" s="310" t="s">
        <v>956</v>
      </c>
    </row>
    <row r="52" spans="1:9" ht="39" customHeight="1" x14ac:dyDescent="0.3">
      <c r="A52" s="283" t="s">
        <v>195</v>
      </c>
      <c r="B52" s="276" t="s">
        <v>7</v>
      </c>
      <c r="C52" s="277" t="s">
        <v>131</v>
      </c>
      <c r="D52" s="276" t="s">
        <v>8</v>
      </c>
      <c r="E52" s="265" t="s">
        <v>576</v>
      </c>
      <c r="F52" s="266" t="s">
        <v>577</v>
      </c>
      <c r="G52" s="266" t="s">
        <v>578</v>
      </c>
      <c r="H52" s="276" t="s">
        <v>957</v>
      </c>
      <c r="I52" s="310" t="s">
        <v>958</v>
      </c>
    </row>
    <row r="53" spans="1:9" ht="26.4" x14ac:dyDescent="0.3">
      <c r="A53" s="283" t="s">
        <v>186</v>
      </c>
      <c r="B53" s="276" t="s">
        <v>7</v>
      </c>
      <c r="C53" s="277" t="s">
        <v>187</v>
      </c>
      <c r="D53" s="276" t="s">
        <v>11</v>
      </c>
      <c r="E53" s="265" t="s">
        <v>579</v>
      </c>
      <c r="F53" s="266" t="s">
        <v>580</v>
      </c>
      <c r="G53" s="266" t="s">
        <v>581</v>
      </c>
      <c r="H53" s="276" t="s">
        <v>959</v>
      </c>
      <c r="I53" s="310" t="s">
        <v>960</v>
      </c>
    </row>
    <row r="54" spans="1:9" ht="52.8" x14ac:dyDescent="0.3">
      <c r="A54" s="283" t="s">
        <v>804</v>
      </c>
      <c r="B54" s="276" t="s">
        <v>169</v>
      </c>
      <c r="C54" s="277" t="s">
        <v>752</v>
      </c>
      <c r="D54" s="276" t="s">
        <v>97</v>
      </c>
      <c r="E54" s="265" t="s">
        <v>961</v>
      </c>
      <c r="F54" s="266" t="s">
        <v>962</v>
      </c>
      <c r="G54" s="266" t="s">
        <v>963</v>
      </c>
      <c r="H54" s="276" t="s">
        <v>959</v>
      </c>
      <c r="I54" s="310" t="s">
        <v>964</v>
      </c>
    </row>
    <row r="55" spans="1:9" ht="39.6" x14ac:dyDescent="0.3">
      <c r="A55" s="283" t="s">
        <v>420</v>
      </c>
      <c r="B55" s="276" t="s">
        <v>7</v>
      </c>
      <c r="C55" s="277" t="s">
        <v>421</v>
      </c>
      <c r="D55" s="276" t="s">
        <v>96</v>
      </c>
      <c r="E55" s="265" t="s">
        <v>582</v>
      </c>
      <c r="F55" s="266" t="s">
        <v>583</v>
      </c>
      <c r="G55" s="266" t="s">
        <v>584</v>
      </c>
      <c r="H55" s="276" t="s">
        <v>965</v>
      </c>
      <c r="I55" s="310" t="s">
        <v>966</v>
      </c>
    </row>
    <row r="56" spans="1:9" ht="52.8" x14ac:dyDescent="0.3">
      <c r="A56" s="283" t="s">
        <v>800</v>
      </c>
      <c r="B56" s="276" t="s">
        <v>169</v>
      </c>
      <c r="C56" s="277" t="s">
        <v>744</v>
      </c>
      <c r="D56" s="276" t="s">
        <v>97</v>
      </c>
      <c r="E56" s="265" t="s">
        <v>490</v>
      </c>
      <c r="F56" s="266" t="s">
        <v>967</v>
      </c>
      <c r="G56" s="266" t="s">
        <v>968</v>
      </c>
      <c r="H56" s="276" t="s">
        <v>965</v>
      </c>
      <c r="I56" s="310" t="s">
        <v>969</v>
      </c>
    </row>
    <row r="57" spans="1:9" ht="26.4" x14ac:dyDescent="0.3">
      <c r="A57" s="287" t="s">
        <v>455</v>
      </c>
      <c r="B57" s="258" t="s">
        <v>105</v>
      </c>
      <c r="C57" s="259" t="s">
        <v>456</v>
      </c>
      <c r="D57" s="258" t="s">
        <v>198</v>
      </c>
      <c r="E57" s="261" t="s">
        <v>488</v>
      </c>
      <c r="F57" s="264" t="s">
        <v>585</v>
      </c>
      <c r="G57" s="264" t="s">
        <v>585</v>
      </c>
      <c r="H57" s="258" t="s">
        <v>970</v>
      </c>
      <c r="I57" s="314" t="s">
        <v>971</v>
      </c>
    </row>
    <row r="58" spans="1:9" ht="39.6" x14ac:dyDescent="0.3">
      <c r="A58" s="283" t="s">
        <v>208</v>
      </c>
      <c r="B58" s="276" t="s">
        <v>7</v>
      </c>
      <c r="C58" s="277" t="s">
        <v>209</v>
      </c>
      <c r="D58" s="276" t="s">
        <v>97</v>
      </c>
      <c r="E58" s="265" t="s">
        <v>511</v>
      </c>
      <c r="F58" s="266" t="s">
        <v>572</v>
      </c>
      <c r="G58" s="266" t="s">
        <v>972</v>
      </c>
      <c r="H58" s="276" t="s">
        <v>973</v>
      </c>
      <c r="I58" s="310" t="s">
        <v>974</v>
      </c>
    </row>
    <row r="59" spans="1:9" ht="52.8" x14ac:dyDescent="0.3">
      <c r="A59" s="283" t="s">
        <v>453</v>
      </c>
      <c r="B59" s="276" t="s">
        <v>7</v>
      </c>
      <c r="C59" s="277" t="s">
        <v>454</v>
      </c>
      <c r="D59" s="276" t="s">
        <v>198</v>
      </c>
      <c r="E59" s="265" t="s">
        <v>488</v>
      </c>
      <c r="F59" s="266" t="s">
        <v>586</v>
      </c>
      <c r="G59" s="266" t="s">
        <v>586</v>
      </c>
      <c r="H59" s="276" t="s">
        <v>975</v>
      </c>
      <c r="I59" s="310" t="s">
        <v>976</v>
      </c>
    </row>
    <row r="60" spans="1:9" ht="26.4" x14ac:dyDescent="0.3">
      <c r="A60" s="283" t="s">
        <v>226</v>
      </c>
      <c r="B60" s="276" t="s">
        <v>7</v>
      </c>
      <c r="C60" s="277" t="s">
        <v>144</v>
      </c>
      <c r="D60" s="276" t="s">
        <v>8</v>
      </c>
      <c r="E60" s="265" t="s">
        <v>537</v>
      </c>
      <c r="F60" s="266" t="s">
        <v>587</v>
      </c>
      <c r="G60" s="266" t="s">
        <v>588</v>
      </c>
      <c r="H60" s="276" t="s">
        <v>977</v>
      </c>
      <c r="I60" s="310" t="s">
        <v>978</v>
      </c>
    </row>
    <row r="61" spans="1:9" ht="39.6" x14ac:dyDescent="0.3">
      <c r="A61" s="283" t="s">
        <v>787</v>
      </c>
      <c r="B61" s="276" t="s">
        <v>7</v>
      </c>
      <c r="C61" s="277" t="s">
        <v>788</v>
      </c>
      <c r="D61" s="276" t="s">
        <v>97</v>
      </c>
      <c r="E61" s="265" t="s">
        <v>511</v>
      </c>
      <c r="F61" s="266" t="s">
        <v>979</v>
      </c>
      <c r="G61" s="266" t="s">
        <v>980</v>
      </c>
      <c r="H61" s="276" t="s">
        <v>981</v>
      </c>
      <c r="I61" s="310" t="s">
        <v>982</v>
      </c>
    </row>
    <row r="62" spans="1:9" ht="52.8" x14ac:dyDescent="0.3">
      <c r="A62" s="283" t="s">
        <v>806</v>
      </c>
      <c r="B62" s="276" t="s">
        <v>169</v>
      </c>
      <c r="C62" s="277" t="s">
        <v>755</v>
      </c>
      <c r="D62" s="276" t="s">
        <v>97</v>
      </c>
      <c r="E62" s="265" t="s">
        <v>983</v>
      </c>
      <c r="F62" s="266" t="s">
        <v>984</v>
      </c>
      <c r="G62" s="266" t="s">
        <v>985</v>
      </c>
      <c r="H62" s="276" t="s">
        <v>986</v>
      </c>
      <c r="I62" s="310" t="s">
        <v>987</v>
      </c>
    </row>
    <row r="63" spans="1:9" ht="26.4" x14ac:dyDescent="0.3">
      <c r="A63" s="283" t="s">
        <v>406</v>
      </c>
      <c r="B63" s="276" t="s">
        <v>7</v>
      </c>
      <c r="C63" s="277" t="s">
        <v>407</v>
      </c>
      <c r="D63" s="276" t="s">
        <v>8</v>
      </c>
      <c r="E63" s="265" t="s">
        <v>589</v>
      </c>
      <c r="F63" s="266" t="s">
        <v>590</v>
      </c>
      <c r="G63" s="266" t="s">
        <v>591</v>
      </c>
      <c r="H63" s="276" t="s">
        <v>988</v>
      </c>
      <c r="I63" s="310" t="s">
        <v>989</v>
      </c>
    </row>
    <row r="64" spans="1:9" ht="26.4" x14ac:dyDescent="0.3">
      <c r="A64" s="283" t="s">
        <v>449</v>
      </c>
      <c r="B64" s="276" t="s">
        <v>7</v>
      </c>
      <c r="C64" s="277" t="s">
        <v>450</v>
      </c>
      <c r="D64" s="276" t="s">
        <v>8</v>
      </c>
      <c r="E64" s="265" t="s">
        <v>592</v>
      </c>
      <c r="F64" s="266" t="s">
        <v>593</v>
      </c>
      <c r="G64" s="266" t="s">
        <v>594</v>
      </c>
      <c r="H64" s="276" t="s">
        <v>988</v>
      </c>
      <c r="I64" s="310" t="s">
        <v>990</v>
      </c>
    </row>
    <row r="65" spans="1:9" ht="39.6" x14ac:dyDescent="0.3">
      <c r="A65" s="283" t="s">
        <v>790</v>
      </c>
      <c r="B65" s="276" t="s">
        <v>7</v>
      </c>
      <c r="C65" s="277" t="s">
        <v>791</v>
      </c>
      <c r="D65" s="276" t="s">
        <v>198</v>
      </c>
      <c r="E65" s="265" t="s">
        <v>571</v>
      </c>
      <c r="F65" s="266" t="s">
        <v>991</v>
      </c>
      <c r="G65" s="266" t="s">
        <v>992</v>
      </c>
      <c r="H65" s="276" t="s">
        <v>993</v>
      </c>
      <c r="I65" s="310" t="s">
        <v>994</v>
      </c>
    </row>
    <row r="66" spans="1:9" ht="39.6" x14ac:dyDescent="0.3">
      <c r="A66" s="283" t="s">
        <v>793</v>
      </c>
      <c r="B66" s="276" t="s">
        <v>7</v>
      </c>
      <c r="C66" s="277" t="s">
        <v>794</v>
      </c>
      <c r="D66" s="276" t="s">
        <v>198</v>
      </c>
      <c r="E66" s="265" t="s">
        <v>995</v>
      </c>
      <c r="F66" s="266" t="s">
        <v>996</v>
      </c>
      <c r="G66" s="266" t="s">
        <v>997</v>
      </c>
      <c r="H66" s="276" t="s">
        <v>998</v>
      </c>
      <c r="I66" s="310" t="s">
        <v>999</v>
      </c>
    </row>
    <row r="67" spans="1:9" ht="39.6" x14ac:dyDescent="0.3">
      <c r="A67" s="283" t="s">
        <v>457</v>
      </c>
      <c r="B67" s="276" t="s">
        <v>7</v>
      </c>
      <c r="C67" s="277" t="s">
        <v>458</v>
      </c>
      <c r="D67" s="276" t="s">
        <v>198</v>
      </c>
      <c r="E67" s="265" t="s">
        <v>488</v>
      </c>
      <c r="F67" s="266" t="s">
        <v>596</v>
      </c>
      <c r="G67" s="266" t="s">
        <v>596</v>
      </c>
      <c r="H67" s="276" t="s">
        <v>597</v>
      </c>
      <c r="I67" s="310" t="s">
        <v>595</v>
      </c>
    </row>
    <row r="68" spans="1:9" ht="39.6" x14ac:dyDescent="0.3">
      <c r="A68" s="283" t="s">
        <v>796</v>
      </c>
      <c r="B68" s="276" t="s">
        <v>7</v>
      </c>
      <c r="C68" s="277" t="s">
        <v>797</v>
      </c>
      <c r="D68" s="276" t="s">
        <v>198</v>
      </c>
      <c r="E68" s="265" t="s">
        <v>599</v>
      </c>
      <c r="F68" s="266" t="s">
        <v>1000</v>
      </c>
      <c r="G68" s="266" t="s">
        <v>1001</v>
      </c>
      <c r="H68" s="276" t="s">
        <v>597</v>
      </c>
      <c r="I68" s="310" t="s">
        <v>1002</v>
      </c>
    </row>
    <row r="69" spans="1:9" ht="26.4" x14ac:dyDescent="0.3">
      <c r="A69" s="283" t="s">
        <v>781</v>
      </c>
      <c r="B69" s="276" t="s">
        <v>7</v>
      </c>
      <c r="C69" s="277" t="s">
        <v>782</v>
      </c>
      <c r="D69" s="276" t="s">
        <v>198</v>
      </c>
      <c r="E69" s="265" t="s">
        <v>510</v>
      </c>
      <c r="F69" s="266" t="s">
        <v>1003</v>
      </c>
      <c r="G69" s="266" t="s">
        <v>1004</v>
      </c>
      <c r="H69" s="276" t="s">
        <v>1005</v>
      </c>
      <c r="I69" s="310" t="s">
        <v>598</v>
      </c>
    </row>
    <row r="70" spans="1:9" x14ac:dyDescent="0.3">
      <c r="A70" s="283" t="s">
        <v>780</v>
      </c>
      <c r="B70" s="276" t="s">
        <v>43</v>
      </c>
      <c r="C70" s="277" t="s">
        <v>762</v>
      </c>
      <c r="D70" s="276" t="s">
        <v>216</v>
      </c>
      <c r="E70" s="265" t="s">
        <v>488</v>
      </c>
      <c r="F70" s="266" t="s">
        <v>1006</v>
      </c>
      <c r="G70" s="266" t="s">
        <v>1006</v>
      </c>
      <c r="H70" s="276" t="s">
        <v>1005</v>
      </c>
      <c r="I70" s="310" t="s">
        <v>1007</v>
      </c>
    </row>
    <row r="71" spans="1:9" ht="27" thickBot="1" x14ac:dyDescent="0.35">
      <c r="A71" s="321" t="s">
        <v>459</v>
      </c>
      <c r="B71" s="322" t="s">
        <v>7</v>
      </c>
      <c r="C71" s="323" t="s">
        <v>460</v>
      </c>
      <c r="D71" s="322" t="s">
        <v>198</v>
      </c>
      <c r="E71" s="324" t="s">
        <v>488</v>
      </c>
      <c r="F71" s="325" t="s">
        <v>600</v>
      </c>
      <c r="G71" s="325" t="s">
        <v>600</v>
      </c>
      <c r="H71" s="322" t="s">
        <v>1005</v>
      </c>
      <c r="I71" s="326" t="s">
        <v>601</v>
      </c>
    </row>
  </sheetData>
  <mergeCells count="1">
    <mergeCell ref="A2:I2"/>
  </mergeCells>
  <printOptions horizontalCentered="1"/>
  <pageMargins left="0.51181102362204722" right="0.51181102362204722" top="0.78740157480314965" bottom="0.78740157480314965" header="0.19685039370078741" footer="0.19685039370078741"/>
  <pageSetup paperSize="9" scale="85" orientation="landscape" horizontalDpi="0" verticalDpi="0" r:id="rId1"/>
  <headerFooter>
    <oddHeader>&amp;L&amp;G&amp;R&amp;G</oddHeader>
    <oddFooter>&amp;RPágina &amp;P de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4FE6-F537-435A-A00C-F82E6EBC4D52}">
  <sheetPr>
    <pageSetUpPr fitToPage="1"/>
  </sheetPr>
  <dimension ref="A1:O8"/>
  <sheetViews>
    <sheetView workbookViewId="0">
      <selection activeCell="R7" sqref="R7"/>
    </sheetView>
  </sheetViews>
  <sheetFormatPr defaultRowHeight="14.4" x14ac:dyDescent="0.3"/>
  <sheetData>
    <row r="1" spans="1:15" x14ac:dyDescent="0.3">
      <c r="A1" s="38"/>
      <c r="B1" s="38"/>
      <c r="C1" s="38"/>
      <c r="D1" s="49"/>
      <c r="E1" s="49"/>
      <c r="F1" s="49"/>
      <c r="G1" s="49"/>
      <c r="H1" s="49"/>
      <c r="I1" s="49"/>
    </row>
    <row r="2" spans="1:15" ht="17.399999999999999" customHeight="1" x14ac:dyDescent="0.3">
      <c r="A2" s="415" t="s">
        <v>1017</v>
      </c>
      <c r="B2" s="412"/>
      <c r="C2" s="412"/>
      <c r="D2" s="412"/>
      <c r="E2" s="412"/>
      <c r="F2" s="412"/>
      <c r="G2" s="412"/>
      <c r="H2" s="412"/>
      <c r="I2" s="412"/>
      <c r="J2" s="412"/>
      <c r="K2" s="412"/>
      <c r="L2" s="412"/>
      <c r="M2" s="412"/>
      <c r="N2" s="412"/>
      <c r="O2" s="412"/>
    </row>
    <row r="3" spans="1:15" x14ac:dyDescent="0.3">
      <c r="A3" s="215"/>
      <c r="B3" s="215"/>
      <c r="C3" s="215"/>
      <c r="D3" s="216"/>
      <c r="E3" s="216"/>
      <c r="F3" s="216"/>
      <c r="G3" s="49"/>
      <c r="H3" s="49"/>
      <c r="I3" s="49"/>
    </row>
    <row r="4" spans="1:15" x14ac:dyDescent="0.3">
      <c r="A4" s="217" t="s">
        <v>693</v>
      </c>
      <c r="B4" s="218"/>
      <c r="C4" s="219"/>
      <c r="D4" s="49"/>
      <c r="F4" s="221"/>
      <c r="G4" s="49"/>
      <c r="H4" s="49"/>
      <c r="I4" s="49"/>
      <c r="K4" s="220" t="s">
        <v>685</v>
      </c>
    </row>
    <row r="5" spans="1:15" x14ac:dyDescent="0.3">
      <c r="A5" s="217" t="s">
        <v>686</v>
      </c>
      <c r="B5" s="218"/>
      <c r="C5" s="218"/>
      <c r="D5" s="49"/>
      <c r="F5" s="224"/>
      <c r="G5" s="49"/>
      <c r="H5" s="49"/>
      <c r="I5" s="49"/>
      <c r="K5" s="220" t="s">
        <v>687</v>
      </c>
    </row>
    <row r="6" spans="1:15" x14ac:dyDescent="0.3">
      <c r="A6" s="217" t="s">
        <v>694</v>
      </c>
      <c r="B6" s="218"/>
      <c r="C6" s="219"/>
      <c r="D6" s="49"/>
      <c r="F6" s="216"/>
      <c r="G6" s="49"/>
      <c r="H6" s="49"/>
      <c r="I6" s="49"/>
      <c r="K6" s="220" t="s">
        <v>688</v>
      </c>
    </row>
    <row r="7" spans="1:15" x14ac:dyDescent="0.3">
      <c r="A7" s="217" t="s">
        <v>1008</v>
      </c>
      <c r="B7" s="218"/>
      <c r="C7" s="219"/>
      <c r="D7" s="49"/>
      <c r="F7" s="216"/>
      <c r="G7" s="49"/>
      <c r="H7" s="49"/>
      <c r="I7" s="49"/>
      <c r="K7" s="220" t="s">
        <v>689</v>
      </c>
    </row>
    <row r="8" spans="1:15" x14ac:dyDescent="0.3">
      <c r="A8" s="225" t="s">
        <v>691</v>
      </c>
      <c r="B8" s="218"/>
      <c r="C8" s="219"/>
      <c r="D8" s="225"/>
      <c r="E8" s="224"/>
      <c r="F8" s="226"/>
      <c r="G8" s="49"/>
      <c r="H8" s="49"/>
      <c r="I8" s="49"/>
    </row>
  </sheetData>
  <mergeCells count="1">
    <mergeCell ref="A2:O2"/>
  </mergeCells>
  <printOptions horizontalCentered="1"/>
  <pageMargins left="0.51181102362204722" right="0.51181102362204722" top="0.78740157480314965" bottom="0.78740157480314965" header="0.31496062992125984" footer="0.31496062992125984"/>
  <pageSetup paperSize="9" scale="67" orientation="portrait" horizontalDpi="0" verticalDpi="0" r:id="rId1"/>
  <headerFooter>
    <oddHeader>&amp;L&amp;G&amp;R&amp;G</oddHeader>
    <oddFooter>&amp;RPágina &amp;P de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12</vt:i4>
      </vt:variant>
    </vt:vector>
  </HeadingPairs>
  <TitlesOfParts>
    <vt:vector size="20" baseType="lpstr">
      <vt:lpstr>ANEXO-1_CÁLCULOS</vt:lpstr>
      <vt:lpstr>ANEXO-2-BDI NÃO DESONERADO</vt:lpstr>
      <vt:lpstr>ANEXO-3_COMPOSIÇÕES</vt:lpstr>
      <vt:lpstr>ANEXO-4_COTAÇÕES</vt:lpstr>
      <vt:lpstr>ANEXO-5_ORÇAMENTO</vt:lpstr>
      <vt:lpstr>ANEXO-6 CRONOGRAMA</vt:lpstr>
      <vt:lpstr>ANEXO-7_CURVA ABC</vt:lpstr>
      <vt:lpstr>ANEXO-8 ENCARGOS SOCIAIS DE REF</vt:lpstr>
      <vt:lpstr>'ANEXO-1_CÁLCULOS'!Area_de_impressao</vt:lpstr>
      <vt:lpstr>'ANEXO-2-BDI NÃO DESONERADO'!Area_de_impressao</vt:lpstr>
      <vt:lpstr>'ANEXO-3_COMPOSIÇÕES'!Area_de_impressao</vt:lpstr>
      <vt:lpstr>'ANEXO-4_COTAÇÕES'!Area_de_impressao</vt:lpstr>
      <vt:lpstr>'ANEXO-5_ORÇAMENTO'!Area_de_impressao</vt:lpstr>
      <vt:lpstr>'ANEXO-6 CRONOGRAMA'!Area_de_impressao</vt:lpstr>
      <vt:lpstr>'ANEXO-7_CURVA ABC'!Area_de_impressao</vt:lpstr>
      <vt:lpstr>'ANEXO-8 ENCARGOS SOCIAIS DE REF'!Area_de_impressao</vt:lpstr>
      <vt:lpstr>'ANEXO-1_CÁLCULOS'!Titulos_de_impressao</vt:lpstr>
      <vt:lpstr>'ANEXO-5_ORÇAMENTO'!Titulos_de_impressao</vt:lpstr>
      <vt:lpstr>'ANEXO-6 CRONOGRAMA'!Titulos_de_impressao</vt:lpstr>
      <vt:lpstr>'ANEXO-7_CURVA ABC'!Titulos_de_impressao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José Carlos de Assis</cp:lastModifiedBy>
  <cp:lastPrinted>2023-05-11T12:30:49Z</cp:lastPrinted>
  <dcterms:created xsi:type="dcterms:W3CDTF">2014-11-21T13:01:40Z</dcterms:created>
  <dcterms:modified xsi:type="dcterms:W3CDTF">2023-05-11T14:57:36Z</dcterms:modified>
</cp:coreProperties>
</file>